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rpe\Desktop\Лариса\проверка ФЭМ\Барда\"/>
    </mc:Choice>
  </mc:AlternateContent>
  <bookViews>
    <workbookView xWindow="0" yWindow="0" windowWidth="28800" windowHeight="11865" tabRatio="933" firstSheet="2" activeTab="15"/>
  </bookViews>
  <sheets>
    <sheet name="Список документов" sheetId="17" r:id="rId1"/>
    <sheet name="Заявка" sheetId="15" r:id="rId2"/>
    <sheet name="&gt;&gt;&gt;" sheetId="16" r:id="rId3"/>
    <sheet name="Предпосылки" sheetId="3" r:id="rId4"/>
    <sheet name="Комментарии" sheetId="18" r:id="rId5"/>
    <sheet name="Доходы и расходы" sheetId="4" r:id="rId6"/>
    <sheet name="Инвестиции" sheetId="5" r:id="rId7"/>
    <sheet name="Финансирование" sheetId="6" r:id="rId8"/>
    <sheet name="Налоги" sheetId="7" r:id="rId9"/>
    <sheet name="Оборотный капитал" sheetId="13" r:id="rId10"/>
    <sheet name="БДР" sheetId="8" r:id="rId11"/>
    <sheet name="БДДС" sheetId="9" r:id="rId12"/>
    <sheet name="Результаты" sheetId="10" r:id="rId13"/>
    <sheet name="Налоговые поступления в бюджет" sheetId="11" r:id="rId14"/>
    <sheet name="Справочно" sheetId="14" r:id="rId15"/>
    <sheet name="инвест.площадка" sheetId="19" r:id="rId16"/>
  </sheets>
  <definedNames>
    <definedName name="_xlnm.Print_Area" localSheetId="1">Заявка!$A$1:$Q$73</definedName>
    <definedName name="_xlnm.Print_Area" localSheetId="13">'Налоговые поступления в бюджет'!$A$1:$L$67</definedName>
    <definedName name="_xlnm.Print_Area" localSheetId="0">'Список документов'!$A$1:$E$11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4" l="1"/>
  <c r="P7" i="14"/>
  <c r="P6" i="14"/>
  <c r="P5" i="14"/>
  <c r="O7" i="14" l="1"/>
  <c r="N7" i="14"/>
  <c r="G193" i="3" l="1"/>
  <c r="E82" i="3"/>
  <c r="L60" i="11"/>
  <c r="K60" i="11"/>
  <c r="J60" i="11"/>
  <c r="I60" i="11"/>
  <c r="H60" i="11"/>
  <c r="G60" i="11"/>
  <c r="F60" i="11"/>
  <c r="E60" i="11"/>
  <c r="D60" i="11"/>
  <c r="C60" i="11"/>
  <c r="E19" i="3"/>
  <c r="E18" i="3"/>
  <c r="C81" i="5"/>
  <c r="C93" i="5"/>
  <c r="C84" i="5"/>
  <c r="C82" i="5"/>
  <c r="C79" i="5"/>
  <c r="C83" i="5"/>
  <c r="C86" i="5"/>
  <c r="C90" i="5"/>
  <c r="C94" i="5"/>
  <c r="C98" i="5"/>
  <c r="C80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79" i="5"/>
  <c r="C85" i="5"/>
  <c r="C87" i="5"/>
  <c r="C88" i="5"/>
  <c r="C89" i="5"/>
  <c r="C91" i="5"/>
  <c r="C92" i="5"/>
  <c r="C95" i="5"/>
  <c r="C96" i="5"/>
  <c r="C97" i="5"/>
  <c r="B329" i="3"/>
  <c r="L299" i="3"/>
  <c r="J299" i="3"/>
  <c r="H299" i="3"/>
  <c r="M299" i="3"/>
  <c r="N299" i="3"/>
  <c r="O299" i="3"/>
  <c r="P299" i="3"/>
  <c r="I299" i="3"/>
  <c r="K299" i="3"/>
  <c r="G299" i="3"/>
  <c r="E7" i="14" l="1"/>
  <c r="E6" i="14" s="1"/>
  <c r="E5" i="14" s="1"/>
  <c r="E8" i="14"/>
  <c r="E12" i="14"/>
  <c r="E13" i="14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11" i="14"/>
  <c r="D223" i="4"/>
  <c r="D222" i="4"/>
  <c r="D224" i="4"/>
  <c r="B223" i="4"/>
  <c r="B222" i="4"/>
  <c r="D210" i="4"/>
  <c r="B210" i="4"/>
  <c r="D209" i="4"/>
  <c r="B209" i="4"/>
  <c r="D196" i="4"/>
  <c r="B196" i="4"/>
  <c r="D197" i="4"/>
  <c r="B197" i="4"/>
  <c r="D225" i="4"/>
  <c r="D212" i="4"/>
  <c r="D199" i="4"/>
  <c r="I296" i="3" a="1"/>
  <c r="I297" i="3" a="1"/>
  <c r="I296" i="3" l="1"/>
  <c r="I297" i="3"/>
  <c r="B225" i="4"/>
  <c r="B212" i="4"/>
  <c r="B199" i="4" l="1"/>
  <c r="B224" i="4"/>
  <c r="D198" i="4"/>
  <c r="D211" i="4"/>
  <c r="B211" i="4"/>
  <c r="B198" i="4"/>
  <c r="C11" i="14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8" i="14"/>
  <c r="C7" i="14" s="1"/>
  <c r="C6" i="14" s="1"/>
  <c r="C5" i="14" s="1"/>
  <c r="E33" i="7" l="1"/>
  <c r="D21" i="9" l="1"/>
  <c r="G40" i="3" l="1"/>
  <c r="D1" i="10"/>
  <c r="D21" i="10" s="1"/>
  <c r="E21" i="10" s="1"/>
  <c r="F21" i="10" s="1"/>
  <c r="G21" i="10" s="1"/>
  <c r="H21" i="10" s="1"/>
  <c r="I21" i="10" s="1"/>
  <c r="J21" i="10" s="1"/>
  <c r="K21" i="10" s="1"/>
  <c r="L21" i="10" s="1"/>
  <c r="M21" i="10" s="1"/>
  <c r="D23" i="9"/>
  <c r="D3" i="9" l="1"/>
  <c r="E3" i="9"/>
  <c r="F3" i="9"/>
  <c r="G3" i="9"/>
  <c r="H3" i="9"/>
  <c r="I3" i="9"/>
  <c r="J3" i="9"/>
  <c r="K3" i="9"/>
  <c r="K4" i="9" s="1"/>
  <c r="L3" i="9"/>
  <c r="M3" i="9"/>
  <c r="G51" i="3"/>
  <c r="B42" i="7"/>
  <c r="B43" i="7"/>
  <c r="B44" i="7"/>
  <c r="B45" i="7"/>
  <c r="D4" i="9" l="1"/>
  <c r="J4" i="9"/>
  <c r="F4" i="9"/>
  <c r="G4" i="9"/>
  <c r="E4" i="9"/>
  <c r="M4" i="9"/>
  <c r="I4" i="9"/>
  <c r="L4" i="9"/>
  <c r="H4" i="9"/>
  <c r="D20" i="9" l="1"/>
  <c r="D18" i="9"/>
  <c r="D19" i="9"/>
  <c r="H353" i="3" l="1"/>
  <c r="H358" i="3" s="1"/>
  <c r="I353" i="3"/>
  <c r="I358" i="3" s="1"/>
  <c r="J353" i="3"/>
  <c r="J358" i="3" s="1"/>
  <c r="K353" i="3"/>
  <c r="K358" i="3" s="1"/>
  <c r="L353" i="3"/>
  <c r="L358" i="3" s="1"/>
  <c r="M353" i="3"/>
  <c r="M358" i="3" s="1"/>
  <c r="N353" i="3"/>
  <c r="N358" i="3" s="1"/>
  <c r="O353" i="3"/>
  <c r="O358" i="3" s="1"/>
  <c r="P353" i="3"/>
  <c r="P358" i="3" s="1"/>
  <c r="G353" i="3"/>
  <c r="G358" i="3" s="1"/>
  <c r="E105" i="3"/>
  <c r="E106" i="3"/>
  <c r="E107" i="3"/>
  <c r="E108" i="3"/>
  <c r="E109" i="3"/>
  <c r="E104" i="3"/>
  <c r="B104" i="3"/>
  <c r="B105" i="3"/>
  <c r="B106" i="3"/>
  <c r="B107" i="3"/>
  <c r="B108" i="3"/>
  <c r="B109" i="3"/>
  <c r="B17" i="8"/>
  <c r="E408" i="3"/>
  <c r="G408" i="3" s="1"/>
  <c r="E398" i="3"/>
  <c r="D13" i="10" s="1"/>
  <c r="Q355" i="3"/>
  <c r="Q354" i="3"/>
  <c r="Q356" i="3"/>
  <c r="Q357" i="3"/>
  <c r="D45" i="9"/>
  <c r="D47" i="9" s="1"/>
  <c r="H51" i="3"/>
  <c r="I51" i="3"/>
  <c r="J51" i="3"/>
  <c r="K51" i="3"/>
  <c r="L51" i="3"/>
  <c r="M51" i="3"/>
  <c r="N51" i="3"/>
  <c r="O51" i="3"/>
  <c r="P51" i="3"/>
  <c r="F5" i="4"/>
  <c r="G5" i="4" s="1"/>
  <c r="H5" i="4" s="1"/>
  <c r="I5" i="4" s="1"/>
  <c r="E85" i="3"/>
  <c r="E86" i="3"/>
  <c r="E87" i="3"/>
  <c r="E88" i="3"/>
  <c r="E89" i="3"/>
  <c r="E90" i="3"/>
  <c r="E91" i="3"/>
  <c r="E63" i="3"/>
  <c r="E57" i="3"/>
  <c r="E55" i="3"/>
  <c r="E56" i="3"/>
  <c r="E58" i="3"/>
  <c r="E59" i="3"/>
  <c r="E60" i="3"/>
  <c r="E61" i="3"/>
  <c r="E62" i="3"/>
  <c r="E54" i="3"/>
  <c r="E406" i="3"/>
  <c r="G406" i="3" s="1"/>
  <c r="G151" i="3"/>
  <c r="H146" i="3"/>
  <c r="I146" i="3"/>
  <c r="J146" i="3"/>
  <c r="K146" i="3"/>
  <c r="L146" i="3"/>
  <c r="M146" i="3"/>
  <c r="N146" i="3"/>
  <c r="O146" i="3"/>
  <c r="P146" i="3"/>
  <c r="H147" i="3"/>
  <c r="I147" i="3"/>
  <c r="J147" i="3"/>
  <c r="K147" i="3"/>
  <c r="L147" i="3"/>
  <c r="M147" i="3"/>
  <c r="N147" i="3"/>
  <c r="O147" i="3"/>
  <c r="P147" i="3"/>
  <c r="H148" i="3"/>
  <c r="I148" i="3"/>
  <c r="J148" i="3"/>
  <c r="K148" i="3"/>
  <c r="L148" i="3"/>
  <c r="M148" i="3"/>
  <c r="N148" i="3"/>
  <c r="O148" i="3"/>
  <c r="P148" i="3"/>
  <c r="H149" i="3"/>
  <c r="I149" i="3"/>
  <c r="J149" i="3"/>
  <c r="K149" i="3"/>
  <c r="L149" i="3"/>
  <c r="M149" i="3"/>
  <c r="N149" i="3"/>
  <c r="O149" i="3"/>
  <c r="P149" i="3"/>
  <c r="H150" i="3"/>
  <c r="I150" i="3"/>
  <c r="J150" i="3"/>
  <c r="K150" i="3"/>
  <c r="L150" i="3"/>
  <c r="M150" i="3"/>
  <c r="N150" i="3"/>
  <c r="O150" i="3"/>
  <c r="P150" i="3"/>
  <c r="H151" i="3"/>
  <c r="I151" i="3"/>
  <c r="J151" i="3"/>
  <c r="K151" i="3"/>
  <c r="L151" i="3"/>
  <c r="M151" i="3"/>
  <c r="N151" i="3"/>
  <c r="O151" i="3"/>
  <c r="P151" i="3"/>
  <c r="H152" i="3"/>
  <c r="I152" i="3"/>
  <c r="J152" i="3"/>
  <c r="K152" i="3"/>
  <c r="L152" i="3"/>
  <c r="M152" i="3"/>
  <c r="N152" i="3"/>
  <c r="O152" i="3"/>
  <c r="P152" i="3"/>
  <c r="H153" i="3"/>
  <c r="I153" i="3"/>
  <c r="J153" i="3"/>
  <c r="K153" i="3"/>
  <c r="L153" i="3"/>
  <c r="M153" i="3"/>
  <c r="N153" i="3"/>
  <c r="O153" i="3"/>
  <c r="P153" i="3"/>
  <c r="H154" i="3"/>
  <c r="I154" i="3"/>
  <c r="J154" i="3"/>
  <c r="K154" i="3"/>
  <c r="L154" i="3"/>
  <c r="M154" i="3"/>
  <c r="N154" i="3"/>
  <c r="O154" i="3"/>
  <c r="P154" i="3"/>
  <c r="H155" i="3"/>
  <c r="I155" i="3"/>
  <c r="J155" i="3"/>
  <c r="K155" i="3"/>
  <c r="L155" i="3"/>
  <c r="M155" i="3"/>
  <c r="N155" i="3"/>
  <c r="O155" i="3"/>
  <c r="P155" i="3"/>
  <c r="H156" i="3"/>
  <c r="I156" i="3"/>
  <c r="J156" i="3"/>
  <c r="K156" i="3"/>
  <c r="L156" i="3"/>
  <c r="M156" i="3"/>
  <c r="N156" i="3"/>
  <c r="O156" i="3"/>
  <c r="P156" i="3"/>
  <c r="H157" i="3"/>
  <c r="I157" i="3"/>
  <c r="J157" i="3"/>
  <c r="K157" i="3"/>
  <c r="L157" i="3"/>
  <c r="M157" i="3"/>
  <c r="N157" i="3"/>
  <c r="O157" i="3"/>
  <c r="P157" i="3"/>
  <c r="H158" i="3"/>
  <c r="I158" i="3"/>
  <c r="J158" i="3"/>
  <c r="K158" i="3"/>
  <c r="L158" i="3"/>
  <c r="M158" i="3"/>
  <c r="N158" i="3"/>
  <c r="O158" i="3"/>
  <c r="P158" i="3"/>
  <c r="H159" i="3"/>
  <c r="I159" i="3"/>
  <c r="J159" i="3"/>
  <c r="K159" i="3"/>
  <c r="L159" i="3"/>
  <c r="M159" i="3"/>
  <c r="N159" i="3"/>
  <c r="O159" i="3"/>
  <c r="P159" i="3"/>
  <c r="H160" i="3"/>
  <c r="I160" i="3"/>
  <c r="J160" i="3"/>
  <c r="K160" i="3"/>
  <c r="L160" i="3"/>
  <c r="M160" i="3"/>
  <c r="N160" i="3"/>
  <c r="O160" i="3"/>
  <c r="P160" i="3"/>
  <c r="H161" i="3"/>
  <c r="I161" i="3"/>
  <c r="J161" i="3"/>
  <c r="K161" i="3"/>
  <c r="L161" i="3"/>
  <c r="M161" i="3"/>
  <c r="N161" i="3"/>
  <c r="O161" i="3"/>
  <c r="P161" i="3"/>
  <c r="H162" i="3"/>
  <c r="I162" i="3"/>
  <c r="J162" i="3"/>
  <c r="K162" i="3"/>
  <c r="L162" i="3"/>
  <c r="M162" i="3"/>
  <c r="N162" i="3"/>
  <c r="O162" i="3"/>
  <c r="P162" i="3"/>
  <c r="H163" i="3"/>
  <c r="I163" i="3"/>
  <c r="J163" i="3"/>
  <c r="K163" i="3"/>
  <c r="L163" i="3"/>
  <c r="M163" i="3"/>
  <c r="N163" i="3"/>
  <c r="O163" i="3"/>
  <c r="P163" i="3"/>
  <c r="H164" i="3"/>
  <c r="I164" i="3"/>
  <c r="J164" i="3"/>
  <c r="K164" i="3"/>
  <c r="L164" i="3"/>
  <c r="M164" i="3"/>
  <c r="N164" i="3"/>
  <c r="O164" i="3"/>
  <c r="P164" i="3"/>
  <c r="G147" i="3"/>
  <c r="G148" i="3"/>
  <c r="G149" i="3"/>
  <c r="G150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46" i="3"/>
  <c r="G145" i="3"/>
  <c r="H145" i="3"/>
  <c r="I145" i="3"/>
  <c r="J145" i="3"/>
  <c r="K145" i="3"/>
  <c r="L145" i="3"/>
  <c r="M145" i="3"/>
  <c r="N145" i="3"/>
  <c r="O145" i="3"/>
  <c r="P145" i="3"/>
  <c r="E395" i="3"/>
  <c r="E1" i="10"/>
  <c r="F1" i="10"/>
  <c r="G1" i="10"/>
  <c r="H1" i="10"/>
  <c r="I1" i="10"/>
  <c r="J1" i="10"/>
  <c r="K1" i="10"/>
  <c r="L1" i="10"/>
  <c r="M1" i="10"/>
  <c r="E1" i="9"/>
  <c r="F1" i="9"/>
  <c r="G1" i="9"/>
  <c r="H1" i="9"/>
  <c r="I1" i="9"/>
  <c r="J1" i="9"/>
  <c r="K1" i="9"/>
  <c r="L1" i="9"/>
  <c r="M1" i="9"/>
  <c r="D1" i="9"/>
  <c r="F1" i="8"/>
  <c r="G1" i="8"/>
  <c r="H1" i="8"/>
  <c r="I1" i="8"/>
  <c r="J1" i="8"/>
  <c r="K1" i="8"/>
  <c r="L1" i="8"/>
  <c r="M1" i="8"/>
  <c r="N1" i="8"/>
  <c r="E1" i="8"/>
  <c r="H1" i="13"/>
  <c r="I1" i="13"/>
  <c r="J1" i="13"/>
  <c r="K1" i="13"/>
  <c r="L1" i="13"/>
  <c r="M1" i="13"/>
  <c r="N1" i="13"/>
  <c r="O1" i="13"/>
  <c r="P1" i="13"/>
  <c r="G1" i="13"/>
  <c r="F1" i="7"/>
  <c r="G1" i="7"/>
  <c r="H1" i="7"/>
  <c r="I1" i="7"/>
  <c r="J1" i="7"/>
  <c r="K1" i="7"/>
  <c r="L1" i="7"/>
  <c r="M1" i="7"/>
  <c r="N1" i="7"/>
  <c r="E1" i="7"/>
  <c r="G1" i="6"/>
  <c r="H1" i="6"/>
  <c r="I1" i="6"/>
  <c r="J1" i="6"/>
  <c r="K1" i="6"/>
  <c r="L1" i="6"/>
  <c r="M1" i="6"/>
  <c r="N1" i="6"/>
  <c r="O1" i="6"/>
  <c r="F1" i="6"/>
  <c r="I1" i="5"/>
  <c r="J1" i="5"/>
  <c r="K1" i="5"/>
  <c r="L1" i="5"/>
  <c r="M1" i="5"/>
  <c r="N1" i="5"/>
  <c r="O1" i="5"/>
  <c r="P1" i="5"/>
  <c r="Q1" i="5"/>
  <c r="H1" i="5"/>
  <c r="F1" i="4"/>
  <c r="G1" i="4"/>
  <c r="H1" i="4"/>
  <c r="I1" i="4"/>
  <c r="J1" i="4"/>
  <c r="K1" i="4"/>
  <c r="L1" i="4"/>
  <c r="M1" i="4"/>
  <c r="N1" i="4"/>
  <c r="E1" i="4"/>
  <c r="H40" i="3"/>
  <c r="I40" i="3"/>
  <c r="J40" i="3"/>
  <c r="K40" i="3"/>
  <c r="L40" i="3"/>
  <c r="M40" i="3"/>
  <c r="N40" i="3"/>
  <c r="O40" i="3"/>
  <c r="P40" i="3"/>
  <c r="E4" i="4"/>
  <c r="E3" i="4"/>
  <c r="G33" i="6"/>
  <c r="H33" i="6"/>
  <c r="I33" i="6"/>
  <c r="J33" i="6"/>
  <c r="K33" i="6"/>
  <c r="L33" i="6"/>
  <c r="M33" i="6"/>
  <c r="N33" i="6"/>
  <c r="O33" i="6"/>
  <c r="F33" i="6"/>
  <c r="G15" i="6"/>
  <c r="H15" i="6"/>
  <c r="I15" i="6"/>
  <c r="J15" i="6"/>
  <c r="K15" i="6"/>
  <c r="L15" i="6"/>
  <c r="M15" i="6"/>
  <c r="N15" i="6"/>
  <c r="O15" i="6"/>
  <c r="F15" i="6"/>
  <c r="N24" i="11"/>
  <c r="P24" i="11" s="1"/>
  <c r="N26" i="11"/>
  <c r="P26" i="11" s="1"/>
  <c r="N27" i="11"/>
  <c r="P27" i="11" s="1"/>
  <c r="N28" i="11"/>
  <c r="P28" i="11" s="1"/>
  <c r="N30" i="11"/>
  <c r="P30" i="11" s="1"/>
  <c r="N31" i="11"/>
  <c r="P31" i="11" s="1"/>
  <c r="N33" i="11"/>
  <c r="P33" i="11" s="1"/>
  <c r="N34" i="11"/>
  <c r="P34" i="11" s="1"/>
  <c r="N35" i="11"/>
  <c r="P35" i="11" s="1"/>
  <c r="N41" i="11"/>
  <c r="P41" i="11" s="1"/>
  <c r="N42" i="11"/>
  <c r="P42" i="11" s="1"/>
  <c r="N43" i="11"/>
  <c r="P43" i="11" s="1"/>
  <c r="N45" i="11"/>
  <c r="P45" i="11" s="1"/>
  <c r="N46" i="11"/>
  <c r="P46" i="11" s="1"/>
  <c r="N47" i="11"/>
  <c r="P47" i="11" s="1"/>
  <c r="N49" i="11"/>
  <c r="P49" i="11" s="1"/>
  <c r="N50" i="11"/>
  <c r="P50" i="11" s="1"/>
  <c r="N51" i="11"/>
  <c r="P51" i="11" s="1"/>
  <c r="N53" i="11"/>
  <c r="P53" i="11" s="1"/>
  <c r="N54" i="11"/>
  <c r="P54" i="11" s="1"/>
  <c r="N55" i="11"/>
  <c r="P55" i="11" s="1"/>
  <c r="N57" i="11"/>
  <c r="P57" i="11" s="1"/>
  <c r="N58" i="11"/>
  <c r="P58" i="11" s="1"/>
  <c r="N59" i="11"/>
  <c r="P59" i="11" s="1"/>
  <c r="B328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27" i="3"/>
  <c r="G236" i="3"/>
  <c r="G225" i="3"/>
  <c r="G214" i="3"/>
  <c r="G200" i="3"/>
  <c r="B85" i="3"/>
  <c r="B86" i="3"/>
  <c r="B87" i="3"/>
  <c r="B88" i="3"/>
  <c r="B89" i="3"/>
  <c r="B90" i="3"/>
  <c r="B91" i="3"/>
  <c r="B55" i="3"/>
  <c r="B56" i="3"/>
  <c r="B57" i="3"/>
  <c r="B58" i="3"/>
  <c r="B59" i="3"/>
  <c r="B60" i="3"/>
  <c r="B61" i="3"/>
  <c r="B62" i="3"/>
  <c r="B63" i="3"/>
  <c r="B54" i="3"/>
  <c r="K227" i="4" l="1"/>
  <c r="K216" i="4"/>
  <c r="K214" i="4"/>
  <c r="K201" i="4"/>
  <c r="K229" i="4"/>
  <c r="K203" i="4"/>
  <c r="N229" i="4"/>
  <c r="N227" i="4"/>
  <c r="N216" i="4"/>
  <c r="N214" i="4"/>
  <c r="N203" i="4"/>
  <c r="N201" i="4"/>
  <c r="J229" i="4"/>
  <c r="J227" i="4"/>
  <c r="J216" i="4"/>
  <c r="J214" i="4"/>
  <c r="J203" i="4"/>
  <c r="J201" i="4"/>
  <c r="M229" i="4"/>
  <c r="M227" i="4"/>
  <c r="M216" i="4"/>
  <c r="M214" i="4"/>
  <c r="M203" i="4"/>
  <c r="M201" i="4"/>
  <c r="I229" i="4"/>
  <c r="I228" i="4"/>
  <c r="I227" i="4"/>
  <c r="I216" i="4"/>
  <c r="I215" i="4"/>
  <c r="I214" i="4"/>
  <c r="I203" i="4"/>
  <c r="I201" i="4"/>
  <c r="I202" i="4"/>
  <c r="L229" i="4"/>
  <c r="L227" i="4"/>
  <c r="L216" i="4"/>
  <c r="L214" i="4"/>
  <c r="L203" i="4"/>
  <c r="L201" i="4"/>
  <c r="H229" i="4"/>
  <c r="H228" i="4"/>
  <c r="H227" i="4"/>
  <c r="H216" i="4"/>
  <c r="H215" i="4"/>
  <c r="H214" i="4"/>
  <c r="H203" i="4"/>
  <c r="H201" i="4"/>
  <c r="H202" i="4"/>
  <c r="G228" i="4"/>
  <c r="G214" i="4"/>
  <c r="G227" i="4"/>
  <c r="G203" i="4"/>
  <c r="G216" i="4"/>
  <c r="G201" i="4"/>
  <c r="G229" i="4"/>
  <c r="G215" i="4"/>
  <c r="G202" i="4"/>
  <c r="F228" i="4"/>
  <c r="F216" i="4"/>
  <c r="F214" i="4"/>
  <c r="F201" i="4"/>
  <c r="F229" i="4"/>
  <c r="F227" i="4"/>
  <c r="F231" i="4" s="1" a="1"/>
  <c r="F231" i="4" s="1"/>
  <c r="F215" i="4"/>
  <c r="F203" i="4"/>
  <c r="F202" i="4"/>
  <c r="E229" i="4"/>
  <c r="E215" i="4"/>
  <c r="E202" i="4"/>
  <c r="E227" i="4"/>
  <c r="E231" i="4" s="1" a="1"/>
  <c r="E231" i="4" s="1"/>
  <c r="E203" i="4"/>
  <c r="E228" i="4"/>
  <c r="E214" i="4"/>
  <c r="E216" i="4"/>
  <c r="E201" i="4"/>
  <c r="F39" i="6"/>
  <c r="F21" i="6"/>
  <c r="Q358" i="3"/>
  <c r="D12" i="10"/>
  <c r="Q353" i="3" l="1"/>
  <c r="H165" i="3" l="1"/>
  <c r="I165" i="3"/>
  <c r="J165" i="3"/>
  <c r="K165" i="3"/>
  <c r="L165" i="3"/>
  <c r="M165" i="3"/>
  <c r="N165" i="3"/>
  <c r="O165" i="3"/>
  <c r="P165" i="3"/>
  <c r="G165" i="3"/>
  <c r="H136" i="3"/>
  <c r="I136" i="3"/>
  <c r="J136" i="3"/>
  <c r="K136" i="3"/>
  <c r="L136" i="3"/>
  <c r="M136" i="3"/>
  <c r="N136" i="3"/>
  <c r="O136" i="3"/>
  <c r="P136" i="3"/>
  <c r="G136" i="3"/>
  <c r="G140" i="3" l="1" a="1"/>
  <c r="G140" i="3" s="1"/>
  <c r="G139" i="3" a="1"/>
  <c r="G139" i="3" s="1"/>
  <c r="B14" i="8"/>
  <c r="B21" i="8"/>
  <c r="A21" i="9" s="1"/>
  <c r="F13" i="7"/>
  <c r="G13" i="7"/>
  <c r="H13" i="7"/>
  <c r="I13" i="7"/>
  <c r="J13" i="7"/>
  <c r="K13" i="7"/>
  <c r="L13" i="7"/>
  <c r="M13" i="7"/>
  <c r="N13" i="7"/>
  <c r="E13" i="7"/>
  <c r="E57" i="7"/>
  <c r="G372" i="3" l="1"/>
  <c r="F14" i="7"/>
  <c r="F63" i="7" s="1"/>
  <c r="F20" i="9" s="1"/>
  <c r="G14" i="7"/>
  <c r="G63" i="7" s="1"/>
  <c r="G20" i="9" s="1"/>
  <c r="H14" i="7"/>
  <c r="H63" i="7" s="1"/>
  <c r="H20" i="9" s="1"/>
  <c r="I14" i="7"/>
  <c r="I63" i="7" s="1"/>
  <c r="I20" i="9" s="1"/>
  <c r="J14" i="7"/>
  <c r="J63" i="7" s="1"/>
  <c r="J20" i="9" s="1"/>
  <c r="K14" i="7"/>
  <c r="K63" i="7" s="1"/>
  <c r="K20" i="9" s="1"/>
  <c r="L14" i="7"/>
  <c r="L63" i="7" s="1"/>
  <c r="L20" i="9" s="1"/>
  <c r="M14" i="7"/>
  <c r="M63" i="7" s="1"/>
  <c r="M20" i="9" s="1"/>
  <c r="N14" i="7"/>
  <c r="N63" i="7" s="1"/>
  <c r="E14" i="7"/>
  <c r="E63" i="7" s="1"/>
  <c r="F12" i="7"/>
  <c r="G12" i="7"/>
  <c r="H12" i="7"/>
  <c r="I12" i="7"/>
  <c r="J12" i="7"/>
  <c r="K12" i="7"/>
  <c r="L12" i="7"/>
  <c r="M12" i="7"/>
  <c r="N12" i="7"/>
  <c r="E12" i="7"/>
  <c r="F11" i="7"/>
  <c r="G11" i="7"/>
  <c r="H11" i="7"/>
  <c r="I11" i="7"/>
  <c r="J11" i="7"/>
  <c r="K11" i="7"/>
  <c r="L11" i="7"/>
  <c r="M11" i="7"/>
  <c r="N11" i="7"/>
  <c r="E11" i="7"/>
  <c r="F10" i="7"/>
  <c r="F42" i="7" s="1"/>
  <c r="G10" i="7"/>
  <c r="H10" i="7"/>
  <c r="I10" i="7"/>
  <c r="J10" i="7"/>
  <c r="K10" i="7"/>
  <c r="L10" i="7"/>
  <c r="M10" i="7"/>
  <c r="N10" i="7"/>
  <c r="E10" i="7"/>
  <c r="F9" i="7"/>
  <c r="G9" i="7"/>
  <c r="H9" i="7"/>
  <c r="I9" i="7"/>
  <c r="J9" i="7"/>
  <c r="K9" i="7"/>
  <c r="L9" i="7"/>
  <c r="M9" i="7"/>
  <c r="N9" i="7"/>
  <c r="E9" i="7"/>
  <c r="F8" i="7"/>
  <c r="G8" i="7"/>
  <c r="H8" i="7"/>
  <c r="I8" i="7"/>
  <c r="J8" i="7"/>
  <c r="K8" i="7"/>
  <c r="L8" i="7"/>
  <c r="M8" i="7"/>
  <c r="N8" i="7"/>
  <c r="E8" i="7"/>
  <c r="F7" i="7"/>
  <c r="G7" i="7"/>
  <c r="H7" i="7"/>
  <c r="I7" i="7"/>
  <c r="J7" i="7"/>
  <c r="K7" i="7"/>
  <c r="L7" i="7"/>
  <c r="M7" i="7"/>
  <c r="N7" i="7"/>
  <c r="E7" i="7"/>
  <c r="F6" i="7"/>
  <c r="G6" i="7"/>
  <c r="H6" i="7"/>
  <c r="I6" i="7"/>
  <c r="J6" i="7"/>
  <c r="K6" i="7"/>
  <c r="L6" i="7"/>
  <c r="M6" i="7"/>
  <c r="N6" i="7"/>
  <c r="E6" i="7"/>
  <c r="C40" i="11"/>
  <c r="D25" i="11"/>
  <c r="E42" i="7" l="1"/>
  <c r="E41" i="7"/>
  <c r="G43" i="7"/>
  <c r="G45" i="7"/>
  <c r="G42" i="7"/>
  <c r="G41" i="7"/>
  <c r="G44" i="7"/>
  <c r="C23" i="11"/>
  <c r="E20" i="9"/>
  <c r="F45" i="7"/>
  <c r="F41" i="7"/>
  <c r="F44" i="7"/>
  <c r="F43" i="7"/>
  <c r="I41" i="7"/>
  <c r="I43" i="7"/>
  <c r="I42" i="7"/>
  <c r="I45" i="7"/>
  <c r="I44" i="7"/>
  <c r="E43" i="7"/>
  <c r="E44" i="7"/>
  <c r="E45" i="7"/>
  <c r="H44" i="7"/>
  <c r="H41" i="7"/>
  <c r="H43" i="7"/>
  <c r="H42" i="7"/>
  <c r="H45" i="7"/>
  <c r="J23" i="11"/>
  <c r="F23" i="11"/>
  <c r="I23" i="11"/>
  <c r="E23" i="11"/>
  <c r="L23" i="11"/>
  <c r="H23" i="11"/>
  <c r="D23" i="11"/>
  <c r="K23" i="11"/>
  <c r="G23" i="11"/>
  <c r="O63" i="7"/>
  <c r="B146" i="3"/>
  <c r="B170" i="3" s="1"/>
  <c r="B147" i="3"/>
  <c r="B171" i="3" s="1"/>
  <c r="B148" i="3"/>
  <c r="B172" i="3" s="1"/>
  <c r="B149" i="3"/>
  <c r="B173" i="3" s="1"/>
  <c r="B150" i="3"/>
  <c r="B174" i="3" s="1"/>
  <c r="B151" i="3"/>
  <c r="B175" i="3" s="1"/>
  <c r="B152" i="3"/>
  <c r="B176" i="3" s="1"/>
  <c r="B153" i="3"/>
  <c r="B177" i="3" s="1"/>
  <c r="B154" i="3"/>
  <c r="B178" i="3" s="1"/>
  <c r="B155" i="3"/>
  <c r="B179" i="3" s="1"/>
  <c r="B156" i="3"/>
  <c r="B180" i="3" s="1"/>
  <c r="B157" i="3"/>
  <c r="B181" i="3" s="1"/>
  <c r="B158" i="3"/>
  <c r="B182" i="3" s="1"/>
  <c r="B159" i="3"/>
  <c r="B183" i="3" s="1"/>
  <c r="B160" i="3"/>
  <c r="B184" i="3" s="1"/>
  <c r="B161" i="3"/>
  <c r="B185" i="3" s="1"/>
  <c r="B162" i="3"/>
  <c r="B186" i="3" s="1"/>
  <c r="B163" i="3"/>
  <c r="B187" i="3" s="1"/>
  <c r="B164" i="3"/>
  <c r="B188" i="3" s="1"/>
  <c r="B145" i="3"/>
  <c r="B169" i="3" s="1"/>
  <c r="D32" i="13"/>
  <c r="D33" i="13"/>
  <c r="D34" i="13"/>
  <c r="C33" i="13"/>
  <c r="C34" i="13"/>
  <c r="C32" i="13"/>
  <c r="D19" i="13"/>
  <c r="D20" i="13"/>
  <c r="D21" i="13"/>
  <c r="C20" i="13"/>
  <c r="C21" i="13"/>
  <c r="C19" i="13"/>
  <c r="D7" i="13"/>
  <c r="D6" i="13"/>
  <c r="I46" i="7" l="1"/>
  <c r="I19" i="9" s="1"/>
  <c r="G46" i="7"/>
  <c r="H46" i="7"/>
  <c r="H19" i="9" s="1"/>
  <c r="E46" i="7"/>
  <c r="E15" i="8" s="1"/>
  <c r="F46" i="7"/>
  <c r="F19" i="9" s="1"/>
  <c r="N20" i="9"/>
  <c r="N23" i="11"/>
  <c r="O23" i="11"/>
  <c r="E19" i="9" l="1"/>
  <c r="G19" i="9"/>
  <c r="P23" i="11"/>
  <c r="F16" i="8"/>
  <c r="J16" i="8"/>
  <c r="K16" i="8"/>
  <c r="N16" i="8" l="1"/>
  <c r="M16" i="8"/>
  <c r="I16" i="8"/>
  <c r="E16" i="8"/>
  <c r="L16" i="8"/>
  <c r="H16" i="8"/>
  <c r="G16" i="8"/>
  <c r="C20" i="11"/>
  <c r="F15" i="8" l="1"/>
  <c r="D20" i="11"/>
  <c r="O16" i="8"/>
  <c r="B41" i="7" l="1"/>
  <c r="B9" i="5" l="1"/>
  <c r="B32" i="5" s="1"/>
  <c r="B57" i="5" s="1"/>
  <c r="B10" i="5"/>
  <c r="B33" i="5" s="1"/>
  <c r="B58" i="5" s="1"/>
  <c r="B81" i="5" s="1"/>
  <c r="B104" i="5" s="1"/>
  <c r="B126" i="5" s="1"/>
  <c r="B11" i="5"/>
  <c r="B34" i="5" s="1"/>
  <c r="B59" i="5" s="1"/>
  <c r="B82" i="5" s="1"/>
  <c r="B105" i="5" s="1"/>
  <c r="B127" i="5" s="1"/>
  <c r="B12" i="5"/>
  <c r="B35" i="5" s="1"/>
  <c r="B60" i="5" s="1"/>
  <c r="B83" i="5" s="1"/>
  <c r="B106" i="5" s="1"/>
  <c r="B128" i="5" s="1"/>
  <c r="B13" i="5"/>
  <c r="B36" i="5" s="1"/>
  <c r="B61" i="5" s="1"/>
  <c r="B84" i="5" s="1"/>
  <c r="B107" i="5" s="1"/>
  <c r="B129" i="5" s="1"/>
  <c r="B14" i="5"/>
  <c r="B37" i="5" s="1"/>
  <c r="B62" i="5" s="1"/>
  <c r="B85" i="5" s="1"/>
  <c r="B108" i="5" s="1"/>
  <c r="B130" i="5" s="1"/>
  <c r="B15" i="5"/>
  <c r="B38" i="5" s="1"/>
  <c r="B63" i="5" s="1"/>
  <c r="B86" i="5" s="1"/>
  <c r="B109" i="5" s="1"/>
  <c r="B131" i="5" s="1"/>
  <c r="B16" i="5"/>
  <c r="B39" i="5" s="1"/>
  <c r="B64" i="5" s="1"/>
  <c r="B87" i="5" s="1"/>
  <c r="B110" i="5" s="1"/>
  <c r="B132" i="5" s="1"/>
  <c r="B17" i="5"/>
  <c r="B40" i="5" s="1"/>
  <c r="B65" i="5" s="1"/>
  <c r="B88" i="5" s="1"/>
  <c r="B111" i="5" s="1"/>
  <c r="B133" i="5" s="1"/>
  <c r="B18" i="5"/>
  <c r="B41" i="5" s="1"/>
  <c r="B66" i="5" s="1"/>
  <c r="B89" i="5" s="1"/>
  <c r="B112" i="5" s="1"/>
  <c r="B134" i="5" s="1"/>
  <c r="B19" i="5"/>
  <c r="B42" i="5" s="1"/>
  <c r="B67" i="5" s="1"/>
  <c r="B90" i="5" s="1"/>
  <c r="B113" i="5" s="1"/>
  <c r="B135" i="5" s="1"/>
  <c r="B20" i="5"/>
  <c r="B43" i="5" s="1"/>
  <c r="B68" i="5" s="1"/>
  <c r="B91" i="5" s="1"/>
  <c r="B114" i="5" s="1"/>
  <c r="B136" i="5" s="1"/>
  <c r="B21" i="5"/>
  <c r="B44" i="5" s="1"/>
  <c r="B69" i="5" s="1"/>
  <c r="B92" i="5" s="1"/>
  <c r="B115" i="5" s="1"/>
  <c r="B137" i="5" s="1"/>
  <c r="B22" i="5"/>
  <c r="B45" i="5" s="1"/>
  <c r="B70" i="5" s="1"/>
  <c r="B93" i="5" s="1"/>
  <c r="B116" i="5" s="1"/>
  <c r="B138" i="5" s="1"/>
  <c r="B23" i="5"/>
  <c r="B46" i="5" s="1"/>
  <c r="B71" i="5" s="1"/>
  <c r="B94" i="5" s="1"/>
  <c r="B117" i="5" s="1"/>
  <c r="B139" i="5" s="1"/>
  <c r="B24" i="5"/>
  <c r="B47" i="5" s="1"/>
  <c r="B72" i="5" s="1"/>
  <c r="B95" i="5" s="1"/>
  <c r="B118" i="5" s="1"/>
  <c r="B140" i="5" s="1"/>
  <c r="B25" i="5"/>
  <c r="B48" i="5" s="1"/>
  <c r="B73" i="5" s="1"/>
  <c r="B96" i="5" s="1"/>
  <c r="B119" i="5" s="1"/>
  <c r="B141" i="5" s="1"/>
  <c r="B26" i="5"/>
  <c r="B49" i="5" s="1"/>
  <c r="B74" i="5" s="1"/>
  <c r="B97" i="5" s="1"/>
  <c r="B120" i="5" s="1"/>
  <c r="B142" i="5" s="1"/>
  <c r="B27" i="5"/>
  <c r="B50" i="5" s="1"/>
  <c r="B75" i="5" s="1"/>
  <c r="B98" i="5" s="1"/>
  <c r="B121" i="5" s="1"/>
  <c r="B143" i="5" s="1"/>
  <c r="B345" i="3"/>
  <c r="B346" i="3"/>
  <c r="Q309" i="3"/>
  <c r="Q310" i="3"/>
  <c r="Q311" i="3"/>
  <c r="Q312" i="3"/>
  <c r="Q313" i="3"/>
  <c r="Q314" i="3"/>
  <c r="Q315" i="3"/>
  <c r="Q316" i="3"/>
  <c r="Q317" i="3"/>
  <c r="Q318" i="3"/>
  <c r="B80" i="5" l="1"/>
  <c r="B103" i="5" s="1"/>
  <c r="B125" i="5" s="1"/>
  <c r="H7" i="6"/>
  <c r="F38" i="9" s="1"/>
  <c r="C367" i="3" l="1"/>
  <c r="C366" i="3"/>
  <c r="C363" i="3"/>
  <c r="C362" i="3"/>
  <c r="C361" i="3"/>
  <c r="C365" i="3"/>
  <c r="G6" i="6" l="1"/>
  <c r="E37" i="9" s="1"/>
  <c r="H6" i="6"/>
  <c r="F37" i="9" s="1"/>
  <c r="I6" i="6"/>
  <c r="G37" i="9" s="1"/>
  <c r="J6" i="6"/>
  <c r="H37" i="9" s="1"/>
  <c r="K6" i="6"/>
  <c r="I37" i="9" s="1"/>
  <c r="L6" i="6"/>
  <c r="J37" i="9" s="1"/>
  <c r="M6" i="6"/>
  <c r="K37" i="9" s="1"/>
  <c r="N6" i="6"/>
  <c r="L37" i="9" s="1"/>
  <c r="O6" i="6"/>
  <c r="M37" i="9" s="1"/>
  <c r="G7" i="6"/>
  <c r="E38" i="9" s="1"/>
  <c r="I7" i="6"/>
  <c r="G38" i="9" s="1"/>
  <c r="J7" i="6"/>
  <c r="H38" i="9" s="1"/>
  <c r="K7" i="6"/>
  <c r="I38" i="9" s="1"/>
  <c r="L7" i="6"/>
  <c r="J38" i="9" s="1"/>
  <c r="M7" i="6"/>
  <c r="K38" i="9" s="1"/>
  <c r="N7" i="6"/>
  <c r="L38" i="9" s="1"/>
  <c r="O7" i="6"/>
  <c r="M38" i="9" s="1"/>
  <c r="G8" i="6"/>
  <c r="E39" i="9" s="1"/>
  <c r="H8" i="6"/>
  <c r="F39" i="9" s="1"/>
  <c r="I8" i="6"/>
  <c r="G39" i="9" s="1"/>
  <c r="J8" i="6"/>
  <c r="H39" i="9" s="1"/>
  <c r="K8" i="6"/>
  <c r="I39" i="9" s="1"/>
  <c r="L8" i="6"/>
  <c r="J39" i="9" s="1"/>
  <c r="M8" i="6"/>
  <c r="K39" i="9" s="1"/>
  <c r="N8" i="6"/>
  <c r="L39" i="9" s="1"/>
  <c r="O8" i="6"/>
  <c r="M39" i="9" s="1"/>
  <c r="F7" i="6"/>
  <c r="D38" i="9" s="1"/>
  <c r="F8" i="6"/>
  <c r="D39" i="9" s="1"/>
  <c r="F6" i="6"/>
  <c r="D37" i="9" l="1"/>
  <c r="D36" i="9" s="1"/>
  <c r="F9" i="6"/>
  <c r="N38" i="9"/>
  <c r="N39" i="9"/>
  <c r="M9" i="6"/>
  <c r="K9" i="6"/>
  <c r="P6" i="6"/>
  <c r="O9" i="6"/>
  <c r="G9" i="6"/>
  <c r="N9" i="6"/>
  <c r="J9" i="6"/>
  <c r="L9" i="6"/>
  <c r="H9" i="6"/>
  <c r="P7" i="6"/>
  <c r="P8" i="6"/>
  <c r="I9" i="6"/>
  <c r="C18" i="6" l="1"/>
  <c r="C16" i="6"/>
  <c r="C34" i="6"/>
  <c r="C36" i="6"/>
  <c r="P9" i="6"/>
  <c r="D15" i="10" s="1"/>
  <c r="D14" i="10" s="1"/>
  <c r="D16" i="10" s="1"/>
  <c r="D23" i="10" s="1"/>
  <c r="P33" i="6"/>
  <c r="F23" i="10" l="1"/>
  <c r="J23" i="10"/>
  <c r="L23" i="10"/>
  <c r="I23" i="10"/>
  <c r="G23" i="10"/>
  <c r="K23" i="10"/>
  <c r="H23" i="10"/>
  <c r="E23" i="10"/>
  <c r="M23" i="10"/>
  <c r="F34" i="6"/>
  <c r="M34" i="6"/>
  <c r="I34" i="6"/>
  <c r="G34" i="6"/>
  <c r="O34" i="6"/>
  <c r="K34" i="6"/>
  <c r="H34" i="6"/>
  <c r="N34" i="6"/>
  <c r="J34" i="6"/>
  <c r="L34" i="6"/>
  <c r="F41" i="6"/>
  <c r="P15" i="6"/>
  <c r="G16" i="6" s="1"/>
  <c r="F23" i="6"/>
  <c r="F28" i="6" s="1"/>
  <c r="F46" i="6" l="1"/>
  <c r="F47" i="6"/>
  <c r="F29" i="6"/>
  <c r="F16" i="6"/>
  <c r="N16" i="6"/>
  <c r="I16" i="6"/>
  <c r="M16" i="6"/>
  <c r="K16" i="6"/>
  <c r="H16" i="6"/>
  <c r="J16" i="6"/>
  <c r="O16" i="6"/>
  <c r="L16" i="6"/>
  <c r="E19" i="8"/>
  <c r="D22" i="9" l="1"/>
  <c r="C17" i="6"/>
  <c r="F22" i="6" s="1"/>
  <c r="B8" i="5"/>
  <c r="B31" i="5" s="1"/>
  <c r="B56" i="5" s="1"/>
  <c r="B79" i="5" s="1"/>
  <c r="B102" i="5" s="1"/>
  <c r="B124" i="5" s="1"/>
  <c r="Q302" i="3" l="1"/>
  <c r="Q303" i="3"/>
  <c r="Q304" i="3"/>
  <c r="Q305" i="3"/>
  <c r="Q306" i="3"/>
  <c r="Q307" i="3"/>
  <c r="Q308" i="3"/>
  <c r="Q301" i="3"/>
  <c r="F50" i="4" l="1"/>
  <c r="G50" i="4"/>
  <c r="H50" i="4"/>
  <c r="I50" i="4"/>
  <c r="J50" i="4"/>
  <c r="K50" i="4"/>
  <c r="L50" i="4"/>
  <c r="M50" i="4"/>
  <c r="N50" i="4"/>
  <c r="F51" i="4"/>
  <c r="G51" i="4"/>
  <c r="H51" i="4"/>
  <c r="I51" i="4"/>
  <c r="J51" i="4"/>
  <c r="K51" i="4"/>
  <c r="L51" i="4"/>
  <c r="M51" i="4"/>
  <c r="N51" i="4"/>
  <c r="F52" i="4"/>
  <c r="G52" i="4"/>
  <c r="H52" i="4"/>
  <c r="I52" i="4"/>
  <c r="J52" i="4"/>
  <c r="K52" i="4"/>
  <c r="L52" i="4"/>
  <c r="M52" i="4"/>
  <c r="N52" i="4"/>
  <c r="F53" i="4"/>
  <c r="G53" i="4"/>
  <c r="H53" i="4"/>
  <c r="I53" i="4"/>
  <c r="J53" i="4"/>
  <c r="K53" i="4"/>
  <c r="L53" i="4"/>
  <c r="M53" i="4"/>
  <c r="N53" i="4"/>
  <c r="F54" i="4"/>
  <c r="G54" i="4"/>
  <c r="H54" i="4"/>
  <c r="I54" i="4"/>
  <c r="J54" i="4"/>
  <c r="K54" i="4"/>
  <c r="L54" i="4"/>
  <c r="M54" i="4"/>
  <c r="N54" i="4"/>
  <c r="F55" i="4"/>
  <c r="G55" i="4"/>
  <c r="H55" i="4"/>
  <c r="I55" i="4"/>
  <c r="J55" i="4"/>
  <c r="K55" i="4"/>
  <c r="L55" i="4"/>
  <c r="M55" i="4"/>
  <c r="N55" i="4"/>
  <c r="F56" i="4"/>
  <c r="G56" i="4"/>
  <c r="H56" i="4"/>
  <c r="I56" i="4"/>
  <c r="J56" i="4"/>
  <c r="K56" i="4"/>
  <c r="L56" i="4"/>
  <c r="M56" i="4"/>
  <c r="N56" i="4"/>
  <c r="F57" i="4"/>
  <c r="G57" i="4"/>
  <c r="H57" i="4"/>
  <c r="I57" i="4"/>
  <c r="J57" i="4"/>
  <c r="K57" i="4"/>
  <c r="L57" i="4"/>
  <c r="M57" i="4"/>
  <c r="N57" i="4"/>
  <c r="F58" i="4"/>
  <c r="G58" i="4"/>
  <c r="H58" i="4"/>
  <c r="I58" i="4"/>
  <c r="J58" i="4"/>
  <c r="K58" i="4"/>
  <c r="L58" i="4"/>
  <c r="M58" i="4"/>
  <c r="N58" i="4"/>
  <c r="F59" i="4"/>
  <c r="G59" i="4"/>
  <c r="H59" i="4"/>
  <c r="I59" i="4"/>
  <c r="J59" i="4"/>
  <c r="K59" i="4"/>
  <c r="L59" i="4"/>
  <c r="M59" i="4"/>
  <c r="N59" i="4"/>
  <c r="E51" i="4"/>
  <c r="E52" i="4"/>
  <c r="E53" i="4"/>
  <c r="E54" i="4"/>
  <c r="E55" i="4"/>
  <c r="E56" i="4"/>
  <c r="E57" i="4"/>
  <c r="E58" i="4"/>
  <c r="E59" i="4"/>
  <c r="E50" i="4"/>
  <c r="B183" i="4" l="1"/>
  <c r="B184" i="4"/>
  <c r="B185" i="4"/>
  <c r="B186" i="4"/>
  <c r="B187" i="4"/>
  <c r="B188" i="4"/>
  <c r="B189" i="4"/>
  <c r="B190" i="4"/>
  <c r="B191" i="4"/>
  <c r="B182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34" i="4"/>
  <c r="F112" i="4"/>
  <c r="G112" i="4"/>
  <c r="H112" i="4"/>
  <c r="I112" i="4"/>
  <c r="J112" i="4"/>
  <c r="K112" i="4"/>
  <c r="L112" i="4"/>
  <c r="M112" i="4"/>
  <c r="N112" i="4"/>
  <c r="F113" i="4"/>
  <c r="G113" i="4"/>
  <c r="H113" i="4"/>
  <c r="I113" i="4"/>
  <c r="J113" i="4"/>
  <c r="K113" i="4"/>
  <c r="L113" i="4"/>
  <c r="M113" i="4"/>
  <c r="N113" i="4"/>
  <c r="F114" i="4"/>
  <c r="G114" i="4"/>
  <c r="H114" i="4"/>
  <c r="I114" i="4"/>
  <c r="J114" i="4"/>
  <c r="K114" i="4"/>
  <c r="L114" i="4"/>
  <c r="M114" i="4"/>
  <c r="N114" i="4"/>
  <c r="F115" i="4"/>
  <c r="G115" i="4"/>
  <c r="H115" i="4"/>
  <c r="I115" i="4"/>
  <c r="J115" i="4"/>
  <c r="K115" i="4"/>
  <c r="L115" i="4"/>
  <c r="M115" i="4"/>
  <c r="N115" i="4"/>
  <c r="F116" i="4"/>
  <c r="G116" i="4"/>
  <c r="H116" i="4"/>
  <c r="I116" i="4"/>
  <c r="J116" i="4"/>
  <c r="K116" i="4"/>
  <c r="L116" i="4"/>
  <c r="M116" i="4"/>
  <c r="N116" i="4"/>
  <c r="F117" i="4"/>
  <c r="G117" i="4"/>
  <c r="H117" i="4"/>
  <c r="I117" i="4"/>
  <c r="J117" i="4"/>
  <c r="K117" i="4"/>
  <c r="L117" i="4"/>
  <c r="M117" i="4"/>
  <c r="N117" i="4"/>
  <c r="F118" i="4"/>
  <c r="G118" i="4"/>
  <c r="H118" i="4"/>
  <c r="I118" i="4"/>
  <c r="J118" i="4"/>
  <c r="K118" i="4"/>
  <c r="L118" i="4"/>
  <c r="M118" i="4"/>
  <c r="N118" i="4"/>
  <c r="F119" i="4"/>
  <c r="G119" i="4"/>
  <c r="H119" i="4"/>
  <c r="I119" i="4"/>
  <c r="J119" i="4"/>
  <c r="K119" i="4"/>
  <c r="L119" i="4"/>
  <c r="M119" i="4"/>
  <c r="N119" i="4"/>
  <c r="F120" i="4"/>
  <c r="G120" i="4"/>
  <c r="H120" i="4"/>
  <c r="I120" i="4"/>
  <c r="J120" i="4"/>
  <c r="K120" i="4"/>
  <c r="L120" i="4"/>
  <c r="M120" i="4"/>
  <c r="N120" i="4"/>
  <c r="F121" i="4"/>
  <c r="G121" i="4"/>
  <c r="H121" i="4"/>
  <c r="I121" i="4"/>
  <c r="J121" i="4"/>
  <c r="K121" i="4"/>
  <c r="L121" i="4"/>
  <c r="M121" i="4"/>
  <c r="N121" i="4"/>
  <c r="F122" i="4"/>
  <c r="G122" i="4"/>
  <c r="H122" i="4"/>
  <c r="I122" i="4"/>
  <c r="J122" i="4"/>
  <c r="K122" i="4"/>
  <c r="L122" i="4"/>
  <c r="M122" i="4"/>
  <c r="N122" i="4"/>
  <c r="F123" i="4"/>
  <c r="G123" i="4"/>
  <c r="H123" i="4"/>
  <c r="I123" i="4"/>
  <c r="J123" i="4"/>
  <c r="K123" i="4"/>
  <c r="L123" i="4"/>
  <c r="M123" i="4"/>
  <c r="N123" i="4"/>
  <c r="F124" i="4"/>
  <c r="G124" i="4"/>
  <c r="H124" i="4"/>
  <c r="I124" i="4"/>
  <c r="J124" i="4"/>
  <c r="K124" i="4"/>
  <c r="L124" i="4"/>
  <c r="M124" i="4"/>
  <c r="N124" i="4"/>
  <c r="F125" i="4"/>
  <c r="G125" i="4"/>
  <c r="H125" i="4"/>
  <c r="I125" i="4"/>
  <c r="J125" i="4"/>
  <c r="K125" i="4"/>
  <c r="L125" i="4"/>
  <c r="M125" i="4"/>
  <c r="N125" i="4"/>
  <c r="F126" i="4"/>
  <c r="G126" i="4"/>
  <c r="H126" i="4"/>
  <c r="I126" i="4"/>
  <c r="J126" i="4"/>
  <c r="K126" i="4"/>
  <c r="L126" i="4"/>
  <c r="M126" i="4"/>
  <c r="N126" i="4"/>
  <c r="F127" i="4"/>
  <c r="G127" i="4"/>
  <c r="H127" i="4"/>
  <c r="I127" i="4"/>
  <c r="J127" i="4"/>
  <c r="K127" i="4"/>
  <c r="L127" i="4"/>
  <c r="M127" i="4"/>
  <c r="N127" i="4"/>
  <c r="F128" i="4"/>
  <c r="G128" i="4"/>
  <c r="H128" i="4"/>
  <c r="I128" i="4"/>
  <c r="J128" i="4"/>
  <c r="K128" i="4"/>
  <c r="L128" i="4"/>
  <c r="M128" i="4"/>
  <c r="N128" i="4"/>
  <c r="F129" i="4"/>
  <c r="G129" i="4"/>
  <c r="H129" i="4"/>
  <c r="I129" i="4"/>
  <c r="J129" i="4"/>
  <c r="K129" i="4"/>
  <c r="L129" i="4"/>
  <c r="M129" i="4"/>
  <c r="N129" i="4"/>
  <c r="F130" i="4"/>
  <c r="G130" i="4"/>
  <c r="H130" i="4"/>
  <c r="I130" i="4"/>
  <c r="J130" i="4"/>
  <c r="K130" i="4"/>
  <c r="L130" i="4"/>
  <c r="M130" i="4"/>
  <c r="N130" i="4"/>
  <c r="F131" i="4"/>
  <c r="G131" i="4"/>
  <c r="H131" i="4"/>
  <c r="I131" i="4"/>
  <c r="J131" i="4"/>
  <c r="K131" i="4"/>
  <c r="L131" i="4"/>
  <c r="M131" i="4"/>
  <c r="N131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12" i="4"/>
  <c r="B113" i="4"/>
  <c r="B157" i="4" s="1"/>
  <c r="B114" i="4"/>
  <c r="B158" i="4" s="1"/>
  <c r="B115" i="4"/>
  <c r="B159" i="4" s="1"/>
  <c r="B116" i="4"/>
  <c r="B160" i="4" s="1"/>
  <c r="B117" i="4"/>
  <c r="B161" i="4" s="1"/>
  <c r="B118" i="4"/>
  <c r="B162" i="4" s="1"/>
  <c r="B119" i="4"/>
  <c r="B163" i="4" s="1"/>
  <c r="B120" i="4"/>
  <c r="B164" i="4" s="1"/>
  <c r="B121" i="4"/>
  <c r="B165" i="4" s="1"/>
  <c r="B122" i="4"/>
  <c r="B166" i="4" s="1"/>
  <c r="B123" i="4"/>
  <c r="B167" i="4" s="1"/>
  <c r="B124" i="4"/>
  <c r="B168" i="4" s="1"/>
  <c r="B125" i="4"/>
  <c r="B169" i="4" s="1"/>
  <c r="B126" i="4"/>
  <c r="B170" i="4" s="1"/>
  <c r="B127" i="4"/>
  <c r="B171" i="4" s="1"/>
  <c r="B128" i="4"/>
  <c r="B172" i="4" s="1"/>
  <c r="B129" i="4"/>
  <c r="B173" i="4" s="1"/>
  <c r="B130" i="4"/>
  <c r="B174" i="4" s="1"/>
  <c r="B131" i="4"/>
  <c r="B175" i="4" s="1"/>
  <c r="B112" i="4"/>
  <c r="B156" i="4" s="1"/>
  <c r="F87" i="4"/>
  <c r="G87" i="4"/>
  <c r="H87" i="4"/>
  <c r="I87" i="4"/>
  <c r="J87" i="4"/>
  <c r="K87" i="4"/>
  <c r="L87" i="4"/>
  <c r="M87" i="4"/>
  <c r="N87" i="4"/>
  <c r="F88" i="4"/>
  <c r="G88" i="4"/>
  <c r="H88" i="4"/>
  <c r="I88" i="4"/>
  <c r="J88" i="4"/>
  <c r="K88" i="4"/>
  <c r="L88" i="4"/>
  <c r="M88" i="4"/>
  <c r="N88" i="4"/>
  <c r="F89" i="4"/>
  <c r="G89" i="4"/>
  <c r="H89" i="4"/>
  <c r="I89" i="4"/>
  <c r="J89" i="4"/>
  <c r="K89" i="4"/>
  <c r="L89" i="4"/>
  <c r="M89" i="4"/>
  <c r="N89" i="4"/>
  <c r="F90" i="4"/>
  <c r="G90" i="4"/>
  <c r="H90" i="4"/>
  <c r="I90" i="4"/>
  <c r="J90" i="4"/>
  <c r="K90" i="4"/>
  <c r="L90" i="4"/>
  <c r="M90" i="4"/>
  <c r="N90" i="4"/>
  <c r="F91" i="4"/>
  <c r="G91" i="4"/>
  <c r="H91" i="4"/>
  <c r="I91" i="4"/>
  <c r="J91" i="4"/>
  <c r="K91" i="4"/>
  <c r="L91" i="4"/>
  <c r="M91" i="4"/>
  <c r="N91" i="4"/>
  <c r="F92" i="4"/>
  <c r="G92" i="4"/>
  <c r="H92" i="4"/>
  <c r="I92" i="4"/>
  <c r="J92" i="4"/>
  <c r="K92" i="4"/>
  <c r="L92" i="4"/>
  <c r="M92" i="4"/>
  <c r="N92" i="4"/>
  <c r="E88" i="4"/>
  <c r="E89" i="4"/>
  <c r="E90" i="4"/>
  <c r="E91" i="4"/>
  <c r="E92" i="4"/>
  <c r="E87" i="4"/>
  <c r="D96" i="4"/>
  <c r="D97" i="4"/>
  <c r="D98" i="4"/>
  <c r="D99" i="4"/>
  <c r="D100" i="4"/>
  <c r="D95" i="4"/>
  <c r="B96" i="4"/>
  <c r="B97" i="4"/>
  <c r="B98" i="4"/>
  <c r="B99" i="4"/>
  <c r="B100" i="4"/>
  <c r="B95" i="4"/>
  <c r="D88" i="4"/>
  <c r="D89" i="4"/>
  <c r="D90" i="4"/>
  <c r="D91" i="4"/>
  <c r="D92" i="4"/>
  <c r="D87" i="4"/>
  <c r="B88" i="4"/>
  <c r="B104" i="4" s="1"/>
  <c r="B89" i="4"/>
  <c r="B105" i="4" s="1"/>
  <c r="B90" i="4"/>
  <c r="B106" i="4" s="1"/>
  <c r="B91" i="4"/>
  <c r="B107" i="4" s="1"/>
  <c r="B92" i="4"/>
  <c r="B108" i="4" s="1"/>
  <c r="B87" i="4"/>
  <c r="B103" i="4" s="1"/>
  <c r="D63" i="4"/>
  <c r="D64" i="4"/>
  <c r="D65" i="4"/>
  <c r="D66" i="4"/>
  <c r="D67" i="4"/>
  <c r="D68" i="4"/>
  <c r="D69" i="4"/>
  <c r="D70" i="4"/>
  <c r="D71" i="4"/>
  <c r="D62" i="4"/>
  <c r="B63" i="4"/>
  <c r="B64" i="4"/>
  <c r="B65" i="4"/>
  <c r="B66" i="4"/>
  <c r="B67" i="4"/>
  <c r="B68" i="4"/>
  <c r="B69" i="4"/>
  <c r="B70" i="4"/>
  <c r="B71" i="4"/>
  <c r="B62" i="4"/>
  <c r="B51" i="4"/>
  <c r="B75" i="4" s="1"/>
  <c r="B52" i="4"/>
  <c r="B76" i="4" s="1"/>
  <c r="B53" i="4"/>
  <c r="B77" i="4" s="1"/>
  <c r="B54" i="4"/>
  <c r="B78" i="4" s="1"/>
  <c r="B55" i="4"/>
  <c r="B79" i="4" s="1"/>
  <c r="B56" i="4"/>
  <c r="B80" i="4" s="1"/>
  <c r="B57" i="4"/>
  <c r="B81" i="4" s="1"/>
  <c r="B58" i="4"/>
  <c r="B82" i="4" s="1"/>
  <c r="B59" i="4"/>
  <c r="B83" i="4" s="1"/>
  <c r="B50" i="4"/>
  <c r="B74" i="4" s="1"/>
  <c r="D51" i="4"/>
  <c r="D52" i="4"/>
  <c r="D53" i="4"/>
  <c r="D54" i="4"/>
  <c r="D55" i="4"/>
  <c r="D56" i="4"/>
  <c r="D57" i="4"/>
  <c r="D58" i="4"/>
  <c r="D59" i="4"/>
  <c r="D50" i="4"/>
  <c r="F10" i="4"/>
  <c r="G10" i="4"/>
  <c r="H10" i="4"/>
  <c r="I10" i="4"/>
  <c r="J10" i="4"/>
  <c r="K10" i="4"/>
  <c r="L10" i="4"/>
  <c r="M10" i="4"/>
  <c r="N10" i="4"/>
  <c r="F11" i="4"/>
  <c r="G11" i="4"/>
  <c r="H11" i="4"/>
  <c r="I11" i="4"/>
  <c r="J11" i="4"/>
  <c r="K11" i="4"/>
  <c r="L11" i="4"/>
  <c r="M11" i="4"/>
  <c r="N11" i="4"/>
  <c r="F12" i="4"/>
  <c r="G12" i="4"/>
  <c r="H12" i="4"/>
  <c r="I12" i="4"/>
  <c r="J12" i="4"/>
  <c r="K12" i="4"/>
  <c r="L12" i="4"/>
  <c r="M12" i="4"/>
  <c r="N12" i="4"/>
  <c r="F13" i="4"/>
  <c r="G13" i="4"/>
  <c r="H13" i="4"/>
  <c r="I13" i="4"/>
  <c r="J13" i="4"/>
  <c r="K13" i="4"/>
  <c r="L13" i="4"/>
  <c r="M13" i="4"/>
  <c r="N13" i="4"/>
  <c r="F14" i="4"/>
  <c r="G14" i="4"/>
  <c r="H14" i="4"/>
  <c r="I14" i="4"/>
  <c r="J14" i="4"/>
  <c r="K14" i="4"/>
  <c r="L14" i="4"/>
  <c r="M14" i="4"/>
  <c r="N14" i="4"/>
  <c r="F15" i="4"/>
  <c r="G15" i="4"/>
  <c r="H15" i="4"/>
  <c r="I15" i="4"/>
  <c r="J15" i="4"/>
  <c r="K15" i="4"/>
  <c r="L15" i="4"/>
  <c r="M15" i="4"/>
  <c r="N15" i="4"/>
  <c r="F16" i="4"/>
  <c r="G16" i="4"/>
  <c r="H16" i="4"/>
  <c r="I16" i="4"/>
  <c r="J16" i="4"/>
  <c r="K16" i="4"/>
  <c r="L16" i="4"/>
  <c r="M16" i="4"/>
  <c r="N16" i="4"/>
  <c r="F17" i="4"/>
  <c r="G17" i="4"/>
  <c r="H17" i="4"/>
  <c r="I17" i="4"/>
  <c r="J17" i="4"/>
  <c r="K17" i="4"/>
  <c r="L17" i="4"/>
  <c r="M17" i="4"/>
  <c r="N17" i="4"/>
  <c r="F18" i="4"/>
  <c r="G18" i="4"/>
  <c r="H18" i="4"/>
  <c r="I18" i="4"/>
  <c r="J18" i="4"/>
  <c r="K18" i="4"/>
  <c r="L18" i="4"/>
  <c r="M18" i="4"/>
  <c r="N18" i="4"/>
  <c r="F19" i="4"/>
  <c r="G19" i="4"/>
  <c r="H19" i="4"/>
  <c r="I19" i="4"/>
  <c r="J19" i="4"/>
  <c r="K19" i="4"/>
  <c r="L19" i="4"/>
  <c r="M19" i="4"/>
  <c r="N19" i="4"/>
  <c r="E11" i="4"/>
  <c r="E12" i="4"/>
  <c r="E13" i="4"/>
  <c r="E14" i="4"/>
  <c r="E15" i="4"/>
  <c r="E16" i="4"/>
  <c r="E17" i="4"/>
  <c r="E18" i="4"/>
  <c r="E19" i="4"/>
  <c r="E10" i="4"/>
  <c r="D23" i="4"/>
  <c r="D24" i="4"/>
  <c r="D25" i="4"/>
  <c r="D26" i="4"/>
  <c r="D27" i="4"/>
  <c r="D28" i="4"/>
  <c r="D29" i="4"/>
  <c r="D30" i="4"/>
  <c r="D31" i="4"/>
  <c r="D22" i="4"/>
  <c r="B22" i="4"/>
  <c r="B23" i="4"/>
  <c r="B24" i="4"/>
  <c r="B25" i="4"/>
  <c r="B26" i="4"/>
  <c r="B27" i="4"/>
  <c r="B28" i="4"/>
  <c r="B29" i="4"/>
  <c r="B30" i="4"/>
  <c r="B31" i="4"/>
  <c r="D11" i="4"/>
  <c r="D12" i="4"/>
  <c r="D13" i="4"/>
  <c r="D14" i="4"/>
  <c r="D15" i="4"/>
  <c r="D16" i="4"/>
  <c r="D17" i="4"/>
  <c r="D18" i="4"/>
  <c r="D19" i="4"/>
  <c r="D10" i="4"/>
  <c r="B11" i="4"/>
  <c r="B35" i="4" s="1"/>
  <c r="B12" i="4"/>
  <c r="B36" i="4" s="1"/>
  <c r="B13" i="4"/>
  <c r="B37" i="4" s="1"/>
  <c r="B14" i="4"/>
  <c r="B38" i="4" s="1"/>
  <c r="B15" i="4"/>
  <c r="B39" i="4" s="1"/>
  <c r="B16" i="4"/>
  <c r="B40" i="4" s="1"/>
  <c r="B17" i="4"/>
  <c r="B41" i="4" s="1"/>
  <c r="B18" i="4"/>
  <c r="B42" i="4" s="1"/>
  <c r="B19" i="4"/>
  <c r="B43" i="4" s="1"/>
  <c r="B10" i="4"/>
  <c r="B34" i="4" s="1"/>
  <c r="E145" i="4"/>
  <c r="E63" i="4" l="1"/>
  <c r="E75" i="4" s="1"/>
  <c r="H3" i="5"/>
  <c r="H8" i="5" s="1"/>
  <c r="H31" i="5" s="1"/>
  <c r="E188" i="4"/>
  <c r="E183" i="4"/>
  <c r="E187" i="4"/>
  <c r="E191" i="4"/>
  <c r="E182" i="4"/>
  <c r="E186" i="4"/>
  <c r="E190" i="4"/>
  <c r="E184" i="4"/>
  <c r="E185" i="4"/>
  <c r="E189" i="4"/>
  <c r="E167" i="4"/>
  <c r="E137" i="4"/>
  <c r="E159" i="4" s="1"/>
  <c r="F4" i="4"/>
  <c r="E151" i="4"/>
  <c r="E173" i="4" s="1"/>
  <c r="E147" i="4"/>
  <c r="E169" i="4" s="1"/>
  <c r="E143" i="4"/>
  <c r="E165" i="4" s="1"/>
  <c r="E139" i="4"/>
  <c r="E161" i="4" s="1"/>
  <c r="E135" i="4"/>
  <c r="E157" i="4" s="1"/>
  <c r="E153" i="4"/>
  <c r="E175" i="4" s="1"/>
  <c r="E152" i="4"/>
  <c r="E174" i="4" s="1"/>
  <c r="E148" i="4"/>
  <c r="E170" i="4" s="1"/>
  <c r="E144" i="4"/>
  <c r="E166" i="4" s="1"/>
  <c r="E140" i="4"/>
  <c r="E162" i="4" s="1"/>
  <c r="E136" i="4"/>
  <c r="E158" i="4" s="1"/>
  <c r="E149" i="4"/>
  <c r="E171" i="4" s="1"/>
  <c r="E134" i="4"/>
  <c r="E142" i="4"/>
  <c r="E164" i="4" s="1"/>
  <c r="E150" i="4"/>
  <c r="E172" i="4" s="1"/>
  <c r="E141" i="4"/>
  <c r="E163" i="4" s="1"/>
  <c r="E138" i="4"/>
  <c r="E160" i="4" s="1"/>
  <c r="E146" i="4"/>
  <c r="E168" i="4" s="1"/>
  <c r="E95" i="4"/>
  <c r="E103" i="4" s="1"/>
  <c r="E98" i="4"/>
  <c r="E106" i="4" s="1"/>
  <c r="E97" i="4"/>
  <c r="E105" i="4" s="1"/>
  <c r="E96" i="4"/>
  <c r="E104" i="4" s="1"/>
  <c r="E99" i="4"/>
  <c r="E107" i="4" s="1"/>
  <c r="E100" i="4"/>
  <c r="E108" i="4" s="1"/>
  <c r="E68" i="4"/>
  <c r="E80" i="4" s="1"/>
  <c r="E64" i="4"/>
  <c r="E76" i="4" s="1"/>
  <c r="E69" i="4"/>
  <c r="E81" i="4" s="1"/>
  <c r="E65" i="4"/>
  <c r="E77" i="4" s="1"/>
  <c r="E70" i="4"/>
  <c r="E82" i="4" s="1"/>
  <c r="E66" i="4"/>
  <c r="E78" i="4" s="1"/>
  <c r="E62" i="4"/>
  <c r="E74" i="4" s="1"/>
  <c r="E67" i="4"/>
  <c r="E79" i="4" s="1"/>
  <c r="E71" i="4"/>
  <c r="E83" i="4" s="1"/>
  <c r="F3" i="4"/>
  <c r="I3" i="5" s="1"/>
  <c r="E28" i="4"/>
  <c r="E40" i="4" s="1"/>
  <c r="E24" i="4"/>
  <c r="E36" i="4" s="1"/>
  <c r="E29" i="4"/>
  <c r="E41" i="4" s="1"/>
  <c r="E25" i="4"/>
  <c r="E37" i="4" s="1"/>
  <c r="E30" i="4"/>
  <c r="E42" i="4" s="1"/>
  <c r="E26" i="4"/>
  <c r="E38" i="4" s="1"/>
  <c r="E22" i="4"/>
  <c r="E34" i="4" s="1"/>
  <c r="E31" i="4"/>
  <c r="E43" i="4" s="1"/>
  <c r="E27" i="4"/>
  <c r="E39" i="4" s="1"/>
  <c r="E23" i="4"/>
  <c r="E35" i="4" s="1"/>
  <c r="E13" i="8" l="1"/>
  <c r="H56" i="5"/>
  <c r="H79" i="5" s="1"/>
  <c r="D17" i="9"/>
  <c r="E156" i="4"/>
  <c r="E176" i="4" s="1"/>
  <c r="I10" i="5"/>
  <c r="I33" i="5" s="1"/>
  <c r="I14" i="5"/>
  <c r="I37" i="5" s="1"/>
  <c r="I18" i="5"/>
  <c r="I41" i="5" s="1"/>
  <c r="I22" i="5"/>
  <c r="I45" i="5" s="1"/>
  <c r="I9" i="5"/>
  <c r="I32" i="5" s="1"/>
  <c r="I13" i="5"/>
  <c r="I36" i="5" s="1"/>
  <c r="I17" i="5"/>
  <c r="I40" i="5" s="1"/>
  <c r="I21" i="5"/>
  <c r="I44" i="5" s="1"/>
  <c r="I25" i="5"/>
  <c r="I48" i="5" s="1"/>
  <c r="I8" i="5"/>
  <c r="I31" i="5" s="1"/>
  <c r="I56" i="5" s="1"/>
  <c r="I79" i="5" s="1"/>
  <c r="I12" i="5"/>
  <c r="I35" i="5" s="1"/>
  <c r="I15" i="5"/>
  <c r="I38" i="5" s="1"/>
  <c r="I23" i="5"/>
  <c r="I46" i="5" s="1"/>
  <c r="I11" i="5"/>
  <c r="I34" i="5" s="1"/>
  <c r="I20" i="5"/>
  <c r="I43" i="5" s="1"/>
  <c r="I16" i="5"/>
  <c r="I39" i="5" s="1"/>
  <c r="I24" i="5"/>
  <c r="I47" i="5" s="1"/>
  <c r="I19" i="5"/>
  <c r="I42" i="5" s="1"/>
  <c r="H9" i="5"/>
  <c r="H32" i="5" s="1"/>
  <c r="H13" i="5"/>
  <c r="H36" i="5" s="1"/>
  <c r="H17" i="5"/>
  <c r="H40" i="5" s="1"/>
  <c r="H21" i="5"/>
  <c r="H44" i="5" s="1"/>
  <c r="H25" i="5"/>
  <c r="H48" i="5" s="1"/>
  <c r="H12" i="5"/>
  <c r="H35" i="5" s="1"/>
  <c r="H16" i="5"/>
  <c r="H39" i="5" s="1"/>
  <c r="H20" i="5"/>
  <c r="H43" i="5" s="1"/>
  <c r="H24" i="5"/>
  <c r="H47" i="5" s="1"/>
  <c r="H11" i="5"/>
  <c r="H34" i="5" s="1"/>
  <c r="H59" i="5" s="1"/>
  <c r="H82" i="5" s="1"/>
  <c r="H22" i="5"/>
  <c r="H45" i="5" s="1"/>
  <c r="H19" i="5"/>
  <c r="H42" i="5" s="1"/>
  <c r="H14" i="5"/>
  <c r="H37" i="5" s="1"/>
  <c r="H18" i="5"/>
  <c r="H41" i="5" s="1"/>
  <c r="H15" i="5"/>
  <c r="H38" i="5" s="1"/>
  <c r="H10" i="5"/>
  <c r="H33" i="5" s="1"/>
  <c r="H23" i="5"/>
  <c r="H46" i="5" s="1"/>
  <c r="F191" i="4"/>
  <c r="F187" i="4"/>
  <c r="F183" i="4"/>
  <c r="F190" i="4"/>
  <c r="F186" i="4"/>
  <c r="F182" i="4"/>
  <c r="F188" i="4"/>
  <c r="F184" i="4"/>
  <c r="F189" i="4"/>
  <c r="F185" i="4"/>
  <c r="G4" i="4"/>
  <c r="F153" i="4"/>
  <c r="F175" i="4" s="1"/>
  <c r="F149" i="4"/>
  <c r="F171" i="4" s="1"/>
  <c r="F145" i="4"/>
  <c r="F167" i="4" s="1"/>
  <c r="F141" i="4"/>
  <c r="F163" i="4" s="1"/>
  <c r="F137" i="4"/>
  <c r="F159" i="4" s="1"/>
  <c r="F150" i="4"/>
  <c r="F172" i="4" s="1"/>
  <c r="F146" i="4"/>
  <c r="F168" i="4" s="1"/>
  <c r="F142" i="4"/>
  <c r="F164" i="4" s="1"/>
  <c r="F138" i="4"/>
  <c r="F160" i="4" s="1"/>
  <c r="F134" i="4"/>
  <c r="F151" i="4"/>
  <c r="F173" i="4" s="1"/>
  <c r="F144" i="4"/>
  <c r="F166" i="4" s="1"/>
  <c r="F136" i="4"/>
  <c r="F158" i="4" s="1"/>
  <c r="F152" i="4"/>
  <c r="F174" i="4" s="1"/>
  <c r="F143" i="4"/>
  <c r="F165" i="4" s="1"/>
  <c r="F135" i="4"/>
  <c r="F157" i="4" s="1"/>
  <c r="F147" i="4"/>
  <c r="F169" i="4" s="1"/>
  <c r="F139" i="4"/>
  <c r="F161" i="4" s="1"/>
  <c r="F148" i="4"/>
  <c r="F170" i="4" s="1"/>
  <c r="F140" i="4"/>
  <c r="F162" i="4" s="1"/>
  <c r="E109" i="4"/>
  <c r="D13" i="9" s="1"/>
  <c r="F97" i="4"/>
  <c r="F105" i="4" s="1"/>
  <c r="F100" i="4"/>
  <c r="F108" i="4" s="1"/>
  <c r="F98" i="4"/>
  <c r="F106" i="4" s="1"/>
  <c r="F95" i="4"/>
  <c r="F103" i="4" s="1"/>
  <c r="F96" i="4"/>
  <c r="F104" i="4" s="1"/>
  <c r="F99" i="4"/>
  <c r="F107" i="4" s="1"/>
  <c r="E84" i="4"/>
  <c r="D12" i="9" s="1"/>
  <c r="F70" i="4"/>
  <c r="F82" i="4" s="1"/>
  <c r="F66" i="4"/>
  <c r="F78" i="4" s="1"/>
  <c r="F71" i="4"/>
  <c r="F83" i="4" s="1"/>
  <c r="F67" i="4"/>
  <c r="F79" i="4" s="1"/>
  <c r="F63" i="4"/>
  <c r="F75" i="4" s="1"/>
  <c r="F62" i="4"/>
  <c r="F74" i="4" s="1"/>
  <c r="F68" i="4"/>
  <c r="F80" i="4" s="1"/>
  <c r="F64" i="4"/>
  <c r="F76" i="4" s="1"/>
  <c r="F69" i="4"/>
  <c r="F81" i="4" s="1"/>
  <c r="F65" i="4"/>
  <c r="F77" i="4" s="1"/>
  <c r="G3" i="4"/>
  <c r="J3" i="5" s="1"/>
  <c r="F30" i="4"/>
  <c r="F42" i="4" s="1"/>
  <c r="F26" i="4"/>
  <c r="F38" i="4" s="1"/>
  <c r="F22" i="4"/>
  <c r="F34" i="4" s="1"/>
  <c r="F31" i="4"/>
  <c r="F43" i="4" s="1"/>
  <c r="F27" i="4"/>
  <c r="F39" i="4" s="1"/>
  <c r="F23" i="4"/>
  <c r="F35" i="4" s="1"/>
  <c r="F28" i="4"/>
  <c r="F40" i="4" s="1"/>
  <c r="F24" i="4"/>
  <c r="F36" i="4" s="1"/>
  <c r="F29" i="4"/>
  <c r="F41" i="4" s="1"/>
  <c r="F25" i="4"/>
  <c r="F37" i="4" s="1"/>
  <c r="E44" i="4"/>
  <c r="F13" i="8" l="1"/>
  <c r="H58" i="5"/>
  <c r="H81" i="5" s="1"/>
  <c r="I58" i="5"/>
  <c r="I81" i="5" s="1"/>
  <c r="I57" i="5"/>
  <c r="H57" i="5"/>
  <c r="H80" i="5" s="1"/>
  <c r="I63" i="5"/>
  <c r="I86" i="5" s="1"/>
  <c r="H63" i="5"/>
  <c r="H86" i="5" s="1"/>
  <c r="H68" i="5"/>
  <c r="H91" i="5" s="1"/>
  <c r="I68" i="5"/>
  <c r="I91" i="5" s="1"/>
  <c r="H69" i="5"/>
  <c r="H92" i="5" s="1"/>
  <c r="I69" i="5"/>
  <c r="I92" i="5" s="1"/>
  <c r="H66" i="5"/>
  <c r="H89" i="5" s="1"/>
  <c r="I66" i="5"/>
  <c r="I89" i="5" s="1"/>
  <c r="I70" i="5"/>
  <c r="I93" i="5" s="1"/>
  <c r="H70" i="5"/>
  <c r="H93" i="5" s="1"/>
  <c r="H64" i="5"/>
  <c r="H87" i="5" s="1"/>
  <c r="I64" i="5"/>
  <c r="I87" i="5" s="1"/>
  <c r="H65" i="5"/>
  <c r="H88" i="5" s="1"/>
  <c r="I65" i="5"/>
  <c r="I88" i="5" s="1"/>
  <c r="H71" i="5"/>
  <c r="H94" i="5" s="1"/>
  <c r="I71" i="5"/>
  <c r="I94" i="5" s="1"/>
  <c r="I59" i="5"/>
  <c r="I82" i="5" s="1"/>
  <c r="I67" i="5"/>
  <c r="I90" i="5" s="1"/>
  <c r="H67" i="5"/>
  <c r="H90" i="5" s="1"/>
  <c r="I72" i="5"/>
  <c r="I95" i="5" s="1"/>
  <c r="H72" i="5"/>
  <c r="H95" i="5" s="1"/>
  <c r="H73" i="5"/>
  <c r="H96" i="5" s="1"/>
  <c r="I73" i="5"/>
  <c r="I96" i="5" s="1"/>
  <c r="I62" i="5"/>
  <c r="H62" i="5"/>
  <c r="H85" i="5" s="1"/>
  <c r="I61" i="5"/>
  <c r="H61" i="5"/>
  <c r="H84" i="5" s="1"/>
  <c r="I60" i="5"/>
  <c r="H60" i="5"/>
  <c r="H83" i="5" s="1"/>
  <c r="D14" i="9"/>
  <c r="E17" i="9"/>
  <c r="G15" i="8"/>
  <c r="F156" i="4"/>
  <c r="F176" i="4" s="1"/>
  <c r="E20" i="11"/>
  <c r="E9" i="8"/>
  <c r="E38" i="7"/>
  <c r="C18" i="11" s="1"/>
  <c r="J5" i="4"/>
  <c r="E30" i="9"/>
  <c r="D30" i="9"/>
  <c r="J11" i="5"/>
  <c r="J34" i="5" s="1"/>
  <c r="J15" i="5"/>
  <c r="J38" i="5" s="1"/>
  <c r="J19" i="5"/>
  <c r="J42" i="5" s="1"/>
  <c r="J67" i="5" s="1"/>
  <c r="J90" i="5" s="1"/>
  <c r="J23" i="5"/>
  <c r="J46" i="5" s="1"/>
  <c r="J71" i="5" s="1"/>
  <c r="J94" i="5" s="1"/>
  <c r="J10" i="5"/>
  <c r="J33" i="5" s="1"/>
  <c r="J14" i="5"/>
  <c r="J37" i="5" s="1"/>
  <c r="J62" i="5" s="1"/>
  <c r="J18" i="5"/>
  <c r="J41" i="5" s="1"/>
  <c r="J22" i="5"/>
  <c r="J45" i="5" s="1"/>
  <c r="J70" i="5" s="1"/>
  <c r="J93" i="5" s="1"/>
  <c r="J13" i="5"/>
  <c r="J36" i="5" s="1"/>
  <c r="J61" i="5" s="1"/>
  <c r="J9" i="5"/>
  <c r="J32" i="5" s="1"/>
  <c r="J57" i="5" s="1"/>
  <c r="J16" i="5"/>
  <c r="J39" i="5" s="1"/>
  <c r="J24" i="5"/>
  <c r="J47" i="5" s="1"/>
  <c r="J20" i="5"/>
  <c r="J43" i="5" s="1"/>
  <c r="J25" i="5"/>
  <c r="J48" i="5" s="1"/>
  <c r="J21" i="5"/>
  <c r="J44" i="5" s="1"/>
  <c r="J8" i="5"/>
  <c r="J31" i="5" s="1"/>
  <c r="J56" i="5" s="1"/>
  <c r="J79" i="5" s="1"/>
  <c r="J12" i="5"/>
  <c r="J35" i="5" s="1"/>
  <c r="J17" i="5"/>
  <c r="J40" i="5" s="1"/>
  <c r="J65" i="5" s="1"/>
  <c r="J88" i="5" s="1"/>
  <c r="E17" i="7"/>
  <c r="E6" i="8"/>
  <c r="E8" i="8"/>
  <c r="E18" i="7"/>
  <c r="G24" i="13"/>
  <c r="D10" i="9"/>
  <c r="D9" i="9" s="1"/>
  <c r="G37" i="13"/>
  <c r="G10" i="13"/>
  <c r="G12" i="13" s="1"/>
  <c r="E10" i="8"/>
  <c r="C9" i="11" s="1"/>
  <c r="E178" i="4"/>
  <c r="D15" i="9" s="1"/>
  <c r="G190" i="4"/>
  <c r="G186" i="4"/>
  <c r="G182" i="4"/>
  <c r="G189" i="4"/>
  <c r="G191" i="4"/>
  <c r="G187" i="4"/>
  <c r="G183" i="4"/>
  <c r="G185" i="4"/>
  <c r="G188" i="4"/>
  <c r="G184" i="4"/>
  <c r="H4" i="4"/>
  <c r="G152" i="4"/>
  <c r="G174" i="4" s="1"/>
  <c r="G148" i="4"/>
  <c r="G170" i="4" s="1"/>
  <c r="G144" i="4"/>
  <c r="G166" i="4" s="1"/>
  <c r="G140" i="4"/>
  <c r="G162" i="4" s="1"/>
  <c r="G136" i="4"/>
  <c r="G158" i="4" s="1"/>
  <c r="G150" i="4"/>
  <c r="G172" i="4" s="1"/>
  <c r="G153" i="4"/>
  <c r="G175" i="4" s="1"/>
  <c r="G149" i="4"/>
  <c r="G171" i="4" s="1"/>
  <c r="G145" i="4"/>
  <c r="G167" i="4" s="1"/>
  <c r="G141" i="4"/>
  <c r="G163" i="4" s="1"/>
  <c r="G137" i="4"/>
  <c r="G159" i="4" s="1"/>
  <c r="G143" i="4"/>
  <c r="G165" i="4" s="1"/>
  <c r="G135" i="4"/>
  <c r="G157" i="4" s="1"/>
  <c r="G142" i="4"/>
  <c r="G164" i="4" s="1"/>
  <c r="G134" i="4"/>
  <c r="G146" i="4"/>
  <c r="G168" i="4" s="1"/>
  <c r="G138" i="4"/>
  <c r="G160" i="4" s="1"/>
  <c r="G151" i="4"/>
  <c r="G173" i="4" s="1"/>
  <c r="G147" i="4"/>
  <c r="G169" i="4" s="1"/>
  <c r="G139" i="4"/>
  <c r="G161" i="4" s="1"/>
  <c r="G96" i="4"/>
  <c r="G104" i="4" s="1"/>
  <c r="G97" i="4"/>
  <c r="G105" i="4" s="1"/>
  <c r="G100" i="4"/>
  <c r="G108" i="4" s="1"/>
  <c r="G98" i="4"/>
  <c r="G106" i="4" s="1"/>
  <c r="G95" i="4"/>
  <c r="G103" i="4" s="1"/>
  <c r="G99" i="4"/>
  <c r="G107" i="4" s="1"/>
  <c r="F109" i="4"/>
  <c r="G69" i="4"/>
  <c r="G81" i="4" s="1"/>
  <c r="G65" i="4"/>
  <c r="G77" i="4" s="1"/>
  <c r="G70" i="4"/>
  <c r="G82" i="4" s="1"/>
  <c r="G66" i="4"/>
  <c r="G78" i="4" s="1"/>
  <c r="G71" i="4"/>
  <c r="G83" i="4" s="1"/>
  <c r="G67" i="4"/>
  <c r="G79" i="4" s="1"/>
  <c r="G63" i="4"/>
  <c r="G75" i="4" s="1"/>
  <c r="G62" i="4"/>
  <c r="G74" i="4" s="1"/>
  <c r="G68" i="4"/>
  <c r="G80" i="4" s="1"/>
  <c r="G64" i="4"/>
  <c r="G76" i="4" s="1"/>
  <c r="F84" i="4"/>
  <c r="E12" i="9" s="1"/>
  <c r="F44" i="4"/>
  <c r="H3" i="4"/>
  <c r="K3" i="5" s="1"/>
  <c r="G29" i="4"/>
  <c r="G41" i="4" s="1"/>
  <c r="G25" i="4"/>
  <c r="G37" i="4" s="1"/>
  <c r="G30" i="4"/>
  <c r="G42" i="4" s="1"/>
  <c r="G26" i="4"/>
  <c r="G38" i="4" s="1"/>
  <c r="G22" i="4"/>
  <c r="G34" i="4" s="1"/>
  <c r="G31" i="4"/>
  <c r="G43" i="4" s="1"/>
  <c r="G27" i="4"/>
  <c r="G39" i="4" s="1"/>
  <c r="G23" i="4"/>
  <c r="G35" i="4" s="1"/>
  <c r="G28" i="4"/>
  <c r="G40" i="4" s="1"/>
  <c r="G24" i="4"/>
  <c r="G36" i="4" s="1"/>
  <c r="L56" i="11"/>
  <c r="K56" i="11"/>
  <c r="J56" i="11"/>
  <c r="I56" i="11"/>
  <c r="H56" i="11"/>
  <c r="G56" i="11"/>
  <c r="F56" i="11"/>
  <c r="E56" i="11"/>
  <c r="D56" i="11"/>
  <c r="C56" i="11"/>
  <c r="L52" i="11"/>
  <c r="K52" i="11"/>
  <c r="J52" i="11"/>
  <c r="I52" i="11"/>
  <c r="H52" i="11"/>
  <c r="G52" i="11"/>
  <c r="F52" i="11"/>
  <c r="E52" i="11"/>
  <c r="D52" i="11"/>
  <c r="C52" i="11"/>
  <c r="L48" i="11"/>
  <c r="K48" i="11"/>
  <c r="J48" i="11"/>
  <c r="I48" i="11"/>
  <c r="H48" i="11"/>
  <c r="G48" i="11"/>
  <c r="F48" i="11"/>
  <c r="E48" i="11"/>
  <c r="D48" i="11"/>
  <c r="C48" i="11"/>
  <c r="L44" i="11"/>
  <c r="K44" i="11"/>
  <c r="J44" i="11"/>
  <c r="I44" i="11"/>
  <c r="H44" i="11"/>
  <c r="G44" i="11"/>
  <c r="F44" i="11"/>
  <c r="E44" i="11"/>
  <c r="D44" i="11"/>
  <c r="C44" i="11"/>
  <c r="L40" i="11"/>
  <c r="K40" i="11"/>
  <c r="J40" i="11"/>
  <c r="I40" i="11"/>
  <c r="H40" i="11"/>
  <c r="G40" i="11"/>
  <c r="F40" i="11"/>
  <c r="E40" i="11"/>
  <c r="D40" i="11"/>
  <c r="L32" i="11"/>
  <c r="K32" i="11"/>
  <c r="J32" i="11"/>
  <c r="I32" i="11"/>
  <c r="H32" i="11"/>
  <c r="G32" i="11"/>
  <c r="F32" i="11"/>
  <c r="E32" i="11"/>
  <c r="D32" i="11"/>
  <c r="C32" i="11"/>
  <c r="L29" i="11"/>
  <c r="K29" i="11"/>
  <c r="J29" i="11"/>
  <c r="I29" i="11"/>
  <c r="H29" i="11"/>
  <c r="G29" i="11"/>
  <c r="F29" i="11"/>
  <c r="E29" i="11"/>
  <c r="D29" i="11"/>
  <c r="C29" i="11"/>
  <c r="L25" i="11"/>
  <c r="K25" i="11"/>
  <c r="J25" i="11"/>
  <c r="I25" i="11"/>
  <c r="H25" i="11"/>
  <c r="G25" i="11"/>
  <c r="F25" i="11"/>
  <c r="E25" i="11"/>
  <c r="C25" i="11"/>
  <c r="I84" i="5" l="1"/>
  <c r="J84" i="5" s="1"/>
  <c r="I85" i="5"/>
  <c r="J85" i="5" s="1"/>
  <c r="I83" i="5"/>
  <c r="I80" i="5"/>
  <c r="J80" i="5" s="1"/>
  <c r="G13" i="8"/>
  <c r="J58" i="5"/>
  <c r="J81" i="5" s="1"/>
  <c r="J73" i="5"/>
  <c r="J96" i="5" s="1"/>
  <c r="J69" i="5"/>
  <c r="J92" i="5" s="1"/>
  <c r="J72" i="5"/>
  <c r="J95" i="5" s="1"/>
  <c r="J59" i="5"/>
  <c r="J82" i="5" s="1"/>
  <c r="J64" i="5"/>
  <c r="J87" i="5" s="1"/>
  <c r="J63" i="5"/>
  <c r="J86" i="5" s="1"/>
  <c r="J66" i="5"/>
  <c r="J89" i="5" s="1"/>
  <c r="J68" i="5"/>
  <c r="J91" i="5" s="1"/>
  <c r="J60" i="5"/>
  <c r="J83" i="5" s="1"/>
  <c r="K5" i="4"/>
  <c r="J42" i="7"/>
  <c r="J215" i="4"/>
  <c r="J202" i="4"/>
  <c r="J41" i="7"/>
  <c r="J44" i="7"/>
  <c r="J228" i="4"/>
  <c r="J43" i="7"/>
  <c r="J45" i="7"/>
  <c r="F17" i="9"/>
  <c r="F38" i="7"/>
  <c r="D18" i="11" s="1"/>
  <c r="E14" i="9"/>
  <c r="F9" i="8"/>
  <c r="E13" i="9"/>
  <c r="F20" i="11"/>
  <c r="H15" i="8"/>
  <c r="N56" i="11"/>
  <c r="P56" i="11" s="1"/>
  <c r="G38" i="13"/>
  <c r="G39" i="13"/>
  <c r="G26" i="13"/>
  <c r="G25" i="13"/>
  <c r="G156" i="4"/>
  <c r="G176" i="4" s="1"/>
  <c r="N32" i="11"/>
  <c r="P32" i="11" s="1"/>
  <c r="N25" i="11"/>
  <c r="P25" i="11" s="1"/>
  <c r="N40" i="11"/>
  <c r="P40" i="11" s="1"/>
  <c r="N52" i="11"/>
  <c r="P52" i="11" s="1"/>
  <c r="N48" i="11"/>
  <c r="P48" i="11" s="1"/>
  <c r="N29" i="11"/>
  <c r="P29" i="11" s="1"/>
  <c r="N44" i="11"/>
  <c r="P44" i="11" s="1"/>
  <c r="G11" i="13"/>
  <c r="G13" i="13" s="1"/>
  <c r="F30" i="9"/>
  <c r="K9" i="5"/>
  <c r="K32" i="5" s="1"/>
  <c r="K12" i="5"/>
  <c r="K35" i="5" s="1"/>
  <c r="K16" i="5"/>
  <c r="K39" i="5" s="1"/>
  <c r="K20" i="5"/>
  <c r="K43" i="5" s="1"/>
  <c r="K24" i="5"/>
  <c r="K47" i="5" s="1"/>
  <c r="K10" i="5"/>
  <c r="K33" i="5" s="1"/>
  <c r="K58" i="5" s="1"/>
  <c r="K81" i="5" s="1"/>
  <c r="K11" i="5"/>
  <c r="K34" i="5" s="1"/>
  <c r="K15" i="5"/>
  <c r="K38" i="5" s="1"/>
  <c r="K19" i="5"/>
  <c r="K42" i="5" s="1"/>
  <c r="K23" i="5"/>
  <c r="K46" i="5" s="1"/>
  <c r="K14" i="5"/>
  <c r="K37" i="5" s="1"/>
  <c r="K17" i="5"/>
  <c r="K40" i="5" s="1"/>
  <c r="K25" i="5"/>
  <c r="K48" i="5" s="1"/>
  <c r="K21" i="5"/>
  <c r="K44" i="5" s="1"/>
  <c r="K13" i="5"/>
  <c r="K36" i="5" s="1"/>
  <c r="K22" i="5"/>
  <c r="K45" i="5" s="1"/>
  <c r="K8" i="5"/>
  <c r="K31" i="5" s="1"/>
  <c r="K18" i="5"/>
  <c r="K41" i="5" s="1"/>
  <c r="E21" i="7"/>
  <c r="C13" i="11"/>
  <c r="E22" i="7"/>
  <c r="C14" i="11"/>
  <c r="F18" i="7"/>
  <c r="F8" i="8"/>
  <c r="F6" i="8"/>
  <c r="F5" i="8" s="1"/>
  <c r="D7" i="11" s="1"/>
  <c r="F17" i="7"/>
  <c r="H24" i="13"/>
  <c r="E10" i="9"/>
  <c r="E9" i="9" s="1"/>
  <c r="F10" i="8"/>
  <c r="D9" i="11" s="1"/>
  <c r="H37" i="13"/>
  <c r="H10" i="13"/>
  <c r="H12" i="13" s="1"/>
  <c r="E11" i="8"/>
  <c r="C22" i="11" s="1"/>
  <c r="E5" i="8"/>
  <c r="C7" i="11" s="1"/>
  <c r="F178" i="4"/>
  <c r="H189" i="4"/>
  <c r="H185" i="4"/>
  <c r="H184" i="4"/>
  <c r="H190" i="4"/>
  <c r="H186" i="4"/>
  <c r="H182" i="4"/>
  <c r="H191" i="4"/>
  <c r="H187" i="4"/>
  <c r="H183" i="4"/>
  <c r="H188" i="4"/>
  <c r="I4" i="4"/>
  <c r="H151" i="4"/>
  <c r="H173" i="4" s="1"/>
  <c r="H147" i="4"/>
  <c r="H169" i="4" s="1"/>
  <c r="H143" i="4"/>
  <c r="H165" i="4" s="1"/>
  <c r="H139" i="4"/>
  <c r="H161" i="4" s="1"/>
  <c r="H135" i="4"/>
  <c r="H157" i="4" s="1"/>
  <c r="H149" i="4"/>
  <c r="H171" i="4" s="1"/>
  <c r="H152" i="4"/>
  <c r="H174" i="4" s="1"/>
  <c r="H148" i="4"/>
  <c r="H170" i="4" s="1"/>
  <c r="H144" i="4"/>
  <c r="H166" i="4" s="1"/>
  <c r="H140" i="4"/>
  <c r="H162" i="4" s="1"/>
  <c r="H136" i="4"/>
  <c r="H158" i="4" s="1"/>
  <c r="H153" i="4"/>
  <c r="H175" i="4" s="1"/>
  <c r="H142" i="4"/>
  <c r="H164" i="4" s="1"/>
  <c r="H134" i="4"/>
  <c r="H145" i="4"/>
  <c r="H167" i="4" s="1"/>
  <c r="H137" i="4"/>
  <c r="H159" i="4" s="1"/>
  <c r="H141" i="4"/>
  <c r="H163" i="4" s="1"/>
  <c r="H146" i="4"/>
  <c r="H168" i="4" s="1"/>
  <c r="H138" i="4"/>
  <c r="H160" i="4" s="1"/>
  <c r="H150" i="4"/>
  <c r="H172" i="4" s="1"/>
  <c r="H99" i="4"/>
  <c r="H107" i="4" s="1"/>
  <c r="H96" i="4"/>
  <c r="H104" i="4" s="1"/>
  <c r="H100" i="4"/>
  <c r="H108" i="4" s="1"/>
  <c r="H98" i="4"/>
  <c r="H106" i="4" s="1"/>
  <c r="H97" i="4"/>
  <c r="H105" i="4" s="1"/>
  <c r="H95" i="4"/>
  <c r="H103" i="4" s="1"/>
  <c r="G109" i="4"/>
  <c r="G84" i="4"/>
  <c r="F12" i="9" s="1"/>
  <c r="H68" i="4"/>
  <c r="H80" i="4" s="1"/>
  <c r="H64" i="4"/>
  <c r="H76" i="4" s="1"/>
  <c r="H69" i="4"/>
  <c r="H81" i="4" s="1"/>
  <c r="H65" i="4"/>
  <c r="H77" i="4" s="1"/>
  <c r="H70" i="4"/>
  <c r="H82" i="4" s="1"/>
  <c r="H66" i="4"/>
  <c r="H78" i="4" s="1"/>
  <c r="H67" i="4"/>
  <c r="H79" i="4" s="1"/>
  <c r="H63" i="4"/>
  <c r="H75" i="4" s="1"/>
  <c r="H71" i="4"/>
  <c r="H83" i="4" s="1"/>
  <c r="H62" i="4"/>
  <c r="H74" i="4" s="1"/>
  <c r="G44" i="4"/>
  <c r="I3" i="4"/>
  <c r="L3" i="5" s="1"/>
  <c r="H28" i="4"/>
  <c r="H40" i="4" s="1"/>
  <c r="H24" i="4"/>
  <c r="H36" i="4" s="1"/>
  <c r="H29" i="4"/>
  <c r="H41" i="4" s="1"/>
  <c r="H25" i="4"/>
  <c r="H37" i="4" s="1"/>
  <c r="H30" i="4"/>
  <c r="H42" i="4" s="1"/>
  <c r="H26" i="4"/>
  <c r="H38" i="4" s="1"/>
  <c r="H22" i="4"/>
  <c r="H34" i="4" s="1"/>
  <c r="H31" i="4"/>
  <c r="H43" i="4" s="1"/>
  <c r="H27" i="4"/>
  <c r="H39" i="4" s="1"/>
  <c r="H23" i="4"/>
  <c r="H35" i="4" s="1"/>
  <c r="G36" i="9"/>
  <c r="M36" i="9"/>
  <c r="I36" i="9"/>
  <c r="E36" i="9"/>
  <c r="K36" i="9"/>
  <c r="J36" i="9"/>
  <c r="F36" i="9"/>
  <c r="L36" i="9"/>
  <c r="H36" i="9"/>
  <c r="N37" i="9"/>
  <c r="H13" i="8" l="1"/>
  <c r="K63" i="5"/>
  <c r="K86" i="5" s="1"/>
  <c r="K68" i="5"/>
  <c r="K91" i="5" s="1"/>
  <c r="K67" i="5"/>
  <c r="K90" i="5" s="1"/>
  <c r="K71" i="5"/>
  <c r="K94" i="5" s="1"/>
  <c r="K66" i="5"/>
  <c r="K89" i="5" s="1"/>
  <c r="K69" i="5"/>
  <c r="K92" i="5" s="1"/>
  <c r="K65" i="5"/>
  <c r="K88" i="5" s="1"/>
  <c r="K59" i="5"/>
  <c r="K82" i="5" s="1"/>
  <c r="K73" i="5"/>
  <c r="K96" i="5" s="1"/>
  <c r="K72" i="5"/>
  <c r="K95" i="5" s="1"/>
  <c r="K57" i="5"/>
  <c r="K80" i="5" s="1"/>
  <c r="K70" i="5"/>
  <c r="K93" i="5" s="1"/>
  <c r="K64" i="5"/>
  <c r="K87" i="5" s="1"/>
  <c r="K56" i="5"/>
  <c r="K79" i="5" s="1"/>
  <c r="K62" i="5"/>
  <c r="K85" i="5" s="1"/>
  <c r="K61" i="5"/>
  <c r="K84" i="5" s="1"/>
  <c r="K60" i="5"/>
  <c r="K83" i="5" s="1"/>
  <c r="G17" i="9"/>
  <c r="J46" i="7"/>
  <c r="L5" i="4"/>
  <c r="K45" i="7"/>
  <c r="K42" i="7"/>
  <c r="K202" i="4"/>
  <c r="K215" i="4"/>
  <c r="K41" i="7"/>
  <c r="K44" i="7"/>
  <c r="K228" i="4"/>
  <c r="K43" i="7"/>
  <c r="H11" i="13"/>
  <c r="H13" i="13" s="1"/>
  <c r="E15" i="9"/>
  <c r="G38" i="7"/>
  <c r="E18" i="11" s="1"/>
  <c r="F14" i="9"/>
  <c r="G9" i="8"/>
  <c r="F13" i="9"/>
  <c r="G20" i="11"/>
  <c r="I15" i="8"/>
  <c r="H25" i="13"/>
  <c r="H26" i="13"/>
  <c r="H39" i="13"/>
  <c r="H38" i="13"/>
  <c r="H156" i="4"/>
  <c r="H176" i="4" s="1"/>
  <c r="G43" i="13"/>
  <c r="G30" i="9"/>
  <c r="L9" i="5"/>
  <c r="L32" i="5" s="1"/>
  <c r="L57" i="5" s="1"/>
  <c r="L13" i="5"/>
  <c r="L36" i="5" s="1"/>
  <c r="L17" i="5"/>
  <c r="L40" i="5" s="1"/>
  <c r="L21" i="5"/>
  <c r="L44" i="5" s="1"/>
  <c r="L25" i="5"/>
  <c r="L48" i="5" s="1"/>
  <c r="L8" i="5"/>
  <c r="L31" i="5" s="1"/>
  <c r="L11" i="5"/>
  <c r="L34" i="5" s="1"/>
  <c r="L12" i="5"/>
  <c r="L35" i="5" s="1"/>
  <c r="L16" i="5"/>
  <c r="L39" i="5" s="1"/>
  <c r="L20" i="5"/>
  <c r="L43" i="5" s="1"/>
  <c r="L24" i="5"/>
  <c r="L47" i="5" s="1"/>
  <c r="L10" i="5"/>
  <c r="L33" i="5" s="1"/>
  <c r="L18" i="5"/>
  <c r="L41" i="5" s="1"/>
  <c r="L15" i="5"/>
  <c r="L38" i="5" s="1"/>
  <c r="L63" i="5" s="1"/>
  <c r="L86" i="5" s="1"/>
  <c r="L23" i="5"/>
  <c r="L46" i="5" s="1"/>
  <c r="L19" i="5"/>
  <c r="L42" i="5" s="1"/>
  <c r="L22" i="5"/>
  <c r="L45" i="5" s="1"/>
  <c r="L14" i="5"/>
  <c r="L37" i="5" s="1"/>
  <c r="F21" i="7"/>
  <c r="D13" i="11"/>
  <c r="F22" i="7"/>
  <c r="D14" i="11"/>
  <c r="G17" i="7"/>
  <c r="G6" i="8"/>
  <c r="G18" i="7"/>
  <c r="G8" i="8"/>
  <c r="F49" i="7"/>
  <c r="F50" i="7" s="1"/>
  <c r="F51" i="7" s="1"/>
  <c r="F54" i="7"/>
  <c r="F59" i="7" s="1"/>
  <c r="E49" i="7"/>
  <c r="E54" i="7"/>
  <c r="G44" i="13"/>
  <c r="I37" i="13"/>
  <c r="I10" i="13"/>
  <c r="I12" i="13" s="1"/>
  <c r="F11" i="8"/>
  <c r="D22" i="11" s="1"/>
  <c r="I24" i="13"/>
  <c r="F10" i="9"/>
  <c r="G10" i="8"/>
  <c r="E9" i="11" s="1"/>
  <c r="G178" i="4"/>
  <c r="F15" i="9" s="1"/>
  <c r="I188" i="4"/>
  <c r="I184" i="4"/>
  <c r="I189" i="4"/>
  <c r="I185" i="4"/>
  <c r="I187" i="4"/>
  <c r="I190" i="4"/>
  <c r="I186" i="4"/>
  <c r="I182" i="4"/>
  <c r="I191" i="4"/>
  <c r="I183" i="4"/>
  <c r="J4" i="4"/>
  <c r="I150" i="4"/>
  <c r="I172" i="4" s="1"/>
  <c r="I146" i="4"/>
  <c r="I168" i="4" s="1"/>
  <c r="I142" i="4"/>
  <c r="I164" i="4" s="1"/>
  <c r="I138" i="4"/>
  <c r="I160" i="4" s="1"/>
  <c r="I134" i="4"/>
  <c r="I151" i="4"/>
  <c r="I173" i="4" s="1"/>
  <c r="I147" i="4"/>
  <c r="I169" i="4" s="1"/>
  <c r="I143" i="4"/>
  <c r="I165" i="4" s="1"/>
  <c r="I139" i="4"/>
  <c r="I161" i="4" s="1"/>
  <c r="I135" i="4"/>
  <c r="I157" i="4" s="1"/>
  <c r="I152" i="4"/>
  <c r="I174" i="4" s="1"/>
  <c r="I153" i="4"/>
  <c r="I175" i="4" s="1"/>
  <c r="I141" i="4"/>
  <c r="I163" i="4" s="1"/>
  <c r="I148" i="4"/>
  <c r="I170" i="4" s="1"/>
  <c r="I140" i="4"/>
  <c r="I162" i="4" s="1"/>
  <c r="I144" i="4"/>
  <c r="I166" i="4" s="1"/>
  <c r="I136" i="4"/>
  <c r="I158" i="4" s="1"/>
  <c r="I145" i="4"/>
  <c r="I167" i="4" s="1"/>
  <c r="I137" i="4"/>
  <c r="I159" i="4" s="1"/>
  <c r="I149" i="4"/>
  <c r="I171" i="4" s="1"/>
  <c r="I100" i="4"/>
  <c r="I108" i="4" s="1"/>
  <c r="I98" i="4"/>
  <c r="I106" i="4" s="1"/>
  <c r="I95" i="4"/>
  <c r="I103" i="4" s="1"/>
  <c r="I99" i="4"/>
  <c r="I107" i="4" s="1"/>
  <c r="I96" i="4"/>
  <c r="I104" i="4" s="1"/>
  <c r="I97" i="4"/>
  <c r="I105" i="4" s="1"/>
  <c r="H109" i="4"/>
  <c r="H84" i="4"/>
  <c r="G12" i="9" s="1"/>
  <c r="I71" i="4"/>
  <c r="I83" i="4" s="1"/>
  <c r="I67" i="4"/>
  <c r="I79" i="4" s="1"/>
  <c r="I63" i="4"/>
  <c r="I75" i="4" s="1"/>
  <c r="I62" i="4"/>
  <c r="I74" i="4" s="1"/>
  <c r="I68" i="4"/>
  <c r="I80" i="4" s="1"/>
  <c r="I64" i="4"/>
  <c r="I76" i="4" s="1"/>
  <c r="I69" i="4"/>
  <c r="I81" i="4" s="1"/>
  <c r="I65" i="4"/>
  <c r="I77" i="4" s="1"/>
  <c r="I66" i="4"/>
  <c r="I78" i="4" s="1"/>
  <c r="I70" i="4"/>
  <c r="I82" i="4" s="1"/>
  <c r="J3" i="4"/>
  <c r="M3" i="5" s="1"/>
  <c r="I31" i="4"/>
  <c r="I43" i="4" s="1"/>
  <c r="I27" i="4"/>
  <c r="I39" i="4" s="1"/>
  <c r="I23" i="4"/>
  <c r="I35" i="4" s="1"/>
  <c r="I28" i="4"/>
  <c r="I40" i="4" s="1"/>
  <c r="I24" i="4"/>
  <c r="I36" i="4" s="1"/>
  <c r="I29" i="4"/>
  <c r="I41" i="4" s="1"/>
  <c r="I25" i="4"/>
  <c r="I37" i="4" s="1"/>
  <c r="I30" i="4"/>
  <c r="I42" i="4" s="1"/>
  <c r="I26" i="4"/>
  <c r="I38" i="4" s="1"/>
  <c r="I22" i="4"/>
  <c r="I34" i="4" s="1"/>
  <c r="H44" i="4"/>
  <c r="N36" i="9"/>
  <c r="N28" i="9"/>
  <c r="L80" i="5" l="1"/>
  <c r="I13" i="8"/>
  <c r="L68" i="5"/>
  <c r="L91" i="5" s="1"/>
  <c r="L72" i="5"/>
  <c r="L95" i="5" s="1"/>
  <c r="L65" i="5"/>
  <c r="L88" i="5" s="1"/>
  <c r="L64" i="5"/>
  <c r="L87" i="5" s="1"/>
  <c r="L58" i="5"/>
  <c r="L81" i="5" s="1"/>
  <c r="L56" i="5"/>
  <c r="L79" i="5" s="1"/>
  <c r="L67" i="5"/>
  <c r="L90" i="5" s="1"/>
  <c r="L71" i="5"/>
  <c r="L94" i="5" s="1"/>
  <c r="L59" i="5"/>
  <c r="L82" i="5" s="1"/>
  <c r="L66" i="5"/>
  <c r="L89" i="5" s="1"/>
  <c r="L73" i="5"/>
  <c r="L96" i="5" s="1"/>
  <c r="L69" i="5"/>
  <c r="L92" i="5" s="1"/>
  <c r="L70" i="5"/>
  <c r="L93" i="5" s="1"/>
  <c r="L62" i="5"/>
  <c r="L85" i="5" s="1"/>
  <c r="L61" i="5"/>
  <c r="L84" i="5" s="1"/>
  <c r="L60" i="5"/>
  <c r="L83" i="5" s="1"/>
  <c r="K46" i="7"/>
  <c r="K19" i="9" s="1"/>
  <c r="J19" i="9"/>
  <c r="M5" i="4"/>
  <c r="L41" i="7"/>
  <c r="L228" i="4"/>
  <c r="L43" i="7"/>
  <c r="L42" i="7"/>
  <c r="L45" i="7"/>
  <c r="L215" i="4"/>
  <c r="L202" i="4"/>
  <c r="L44" i="7"/>
  <c r="H17" i="9"/>
  <c r="H38" i="7"/>
  <c r="F18" i="11" s="1"/>
  <c r="G14" i="9"/>
  <c r="H9" i="8"/>
  <c r="G13" i="9"/>
  <c r="H20" i="11"/>
  <c r="J15" i="8"/>
  <c r="I25" i="13"/>
  <c r="I26" i="13"/>
  <c r="I38" i="13"/>
  <c r="I39" i="13"/>
  <c r="I156" i="4"/>
  <c r="I176" i="4" s="1"/>
  <c r="E59" i="7"/>
  <c r="E50" i="7"/>
  <c r="H43" i="13"/>
  <c r="H30" i="9"/>
  <c r="M10" i="5"/>
  <c r="M33" i="5" s="1"/>
  <c r="M58" i="5" s="1"/>
  <c r="M14" i="5"/>
  <c r="M37" i="5" s="1"/>
  <c r="M18" i="5"/>
  <c r="M41" i="5" s="1"/>
  <c r="M66" i="5" s="1"/>
  <c r="M89" i="5" s="1"/>
  <c r="M22" i="5"/>
  <c r="M45" i="5" s="1"/>
  <c r="M12" i="5"/>
  <c r="M35" i="5" s="1"/>
  <c r="M9" i="5"/>
  <c r="M32" i="5" s="1"/>
  <c r="M57" i="5" s="1"/>
  <c r="M80" i="5" s="1"/>
  <c r="M13" i="5"/>
  <c r="M36" i="5" s="1"/>
  <c r="M17" i="5"/>
  <c r="M40" i="5" s="1"/>
  <c r="M21" i="5"/>
  <c r="M44" i="5" s="1"/>
  <c r="M69" i="5" s="1"/>
  <c r="M92" i="5" s="1"/>
  <c r="M25" i="5"/>
  <c r="M48" i="5" s="1"/>
  <c r="M8" i="5"/>
  <c r="M11" i="5"/>
  <c r="M34" i="5" s="1"/>
  <c r="M59" i="5" s="1"/>
  <c r="M19" i="5"/>
  <c r="M42" i="5" s="1"/>
  <c r="M67" i="5" s="1"/>
  <c r="M90" i="5" s="1"/>
  <c r="M16" i="5"/>
  <c r="M39" i="5" s="1"/>
  <c r="M64" i="5" s="1"/>
  <c r="M87" i="5" s="1"/>
  <c r="M24" i="5"/>
  <c r="M47" i="5" s="1"/>
  <c r="M72" i="5" s="1"/>
  <c r="M95" i="5" s="1"/>
  <c r="M15" i="5"/>
  <c r="M38" i="5" s="1"/>
  <c r="M23" i="5"/>
  <c r="M46" i="5" s="1"/>
  <c r="M71" i="5" s="1"/>
  <c r="M94" i="5" s="1"/>
  <c r="M20" i="5"/>
  <c r="M43" i="5" s="1"/>
  <c r="M68" i="5" s="1"/>
  <c r="M91" i="5" s="1"/>
  <c r="G22" i="7"/>
  <c r="E14" i="11"/>
  <c r="G21" i="7"/>
  <c r="E13" i="11"/>
  <c r="H17" i="7"/>
  <c r="H6" i="8"/>
  <c r="H5" i="8" s="1"/>
  <c r="F7" i="11" s="1"/>
  <c r="H8" i="8"/>
  <c r="H18" i="7"/>
  <c r="G45" i="13"/>
  <c r="H44" i="13"/>
  <c r="G11" i="8"/>
  <c r="E22" i="11" s="1"/>
  <c r="F9" i="9"/>
  <c r="H10" i="8"/>
  <c r="F9" i="11" s="1"/>
  <c r="J37" i="13"/>
  <c r="J10" i="13"/>
  <c r="J12" i="13" s="1"/>
  <c r="J24" i="13"/>
  <c r="G10" i="9"/>
  <c r="G9" i="9" s="1"/>
  <c r="I11" i="13"/>
  <c r="I13" i="13" s="1"/>
  <c r="G5" i="8"/>
  <c r="E7" i="11" s="1"/>
  <c r="H178" i="4"/>
  <c r="G15" i="9" s="1"/>
  <c r="J191" i="4"/>
  <c r="J187" i="4"/>
  <c r="J183" i="4"/>
  <c r="J188" i="4"/>
  <c r="J184" i="4"/>
  <c r="J186" i="4"/>
  <c r="J182" i="4"/>
  <c r="J189" i="4"/>
  <c r="J185" i="4"/>
  <c r="J190" i="4"/>
  <c r="K4" i="4"/>
  <c r="J153" i="4"/>
  <c r="J175" i="4" s="1"/>
  <c r="J149" i="4"/>
  <c r="J171" i="4" s="1"/>
  <c r="J145" i="4"/>
  <c r="J167" i="4" s="1"/>
  <c r="J141" i="4"/>
  <c r="J163" i="4" s="1"/>
  <c r="J137" i="4"/>
  <c r="J159" i="4" s="1"/>
  <c r="J151" i="4"/>
  <c r="J173" i="4" s="1"/>
  <c r="J150" i="4"/>
  <c r="J172" i="4" s="1"/>
  <c r="J146" i="4"/>
  <c r="J168" i="4" s="1"/>
  <c r="J142" i="4"/>
  <c r="J164" i="4" s="1"/>
  <c r="J138" i="4"/>
  <c r="J160" i="4" s="1"/>
  <c r="J134" i="4"/>
  <c r="J152" i="4"/>
  <c r="J174" i="4" s="1"/>
  <c r="J148" i="4"/>
  <c r="J170" i="4" s="1"/>
  <c r="J140" i="4"/>
  <c r="J162" i="4" s="1"/>
  <c r="J147" i="4"/>
  <c r="J169" i="4" s="1"/>
  <c r="J139" i="4"/>
  <c r="J161" i="4" s="1"/>
  <c r="J143" i="4"/>
  <c r="J165" i="4" s="1"/>
  <c r="J135" i="4"/>
  <c r="J157" i="4" s="1"/>
  <c r="J144" i="4"/>
  <c r="J166" i="4" s="1"/>
  <c r="J136" i="4"/>
  <c r="J158" i="4" s="1"/>
  <c r="J97" i="4"/>
  <c r="J105" i="4" s="1"/>
  <c r="J96" i="4"/>
  <c r="J104" i="4" s="1"/>
  <c r="J100" i="4"/>
  <c r="J108" i="4" s="1"/>
  <c r="J98" i="4"/>
  <c r="J106" i="4" s="1"/>
  <c r="J95" i="4"/>
  <c r="J103" i="4" s="1"/>
  <c r="J99" i="4"/>
  <c r="J107" i="4" s="1"/>
  <c r="I109" i="4"/>
  <c r="J70" i="4"/>
  <c r="J82" i="4" s="1"/>
  <c r="J66" i="4"/>
  <c r="J78" i="4" s="1"/>
  <c r="J71" i="4"/>
  <c r="J83" i="4" s="1"/>
  <c r="J67" i="4"/>
  <c r="J79" i="4" s="1"/>
  <c r="J63" i="4"/>
  <c r="J75" i="4" s="1"/>
  <c r="J62" i="4"/>
  <c r="J74" i="4" s="1"/>
  <c r="J68" i="4"/>
  <c r="J80" i="4" s="1"/>
  <c r="J64" i="4"/>
  <c r="J76" i="4" s="1"/>
  <c r="J65" i="4"/>
  <c r="J77" i="4" s="1"/>
  <c r="J69" i="4"/>
  <c r="J81" i="4" s="1"/>
  <c r="I84" i="4"/>
  <c r="H12" i="9" s="1"/>
  <c r="I44" i="4"/>
  <c r="K3" i="4"/>
  <c r="N3" i="5" s="1"/>
  <c r="J30" i="4"/>
  <c r="J42" i="4" s="1"/>
  <c r="J26" i="4"/>
  <c r="J38" i="4" s="1"/>
  <c r="J22" i="4"/>
  <c r="J34" i="4" s="1"/>
  <c r="J31" i="4"/>
  <c r="J43" i="4" s="1"/>
  <c r="J27" i="4"/>
  <c r="J39" i="4" s="1"/>
  <c r="J23" i="4"/>
  <c r="J35" i="4" s="1"/>
  <c r="J28" i="4"/>
  <c r="J40" i="4" s="1"/>
  <c r="J24" i="4"/>
  <c r="J36" i="4" s="1"/>
  <c r="J29" i="4"/>
  <c r="J41" i="4" s="1"/>
  <c r="J25" i="4"/>
  <c r="J37" i="4" s="1"/>
  <c r="M82" i="5" l="1"/>
  <c r="M81" i="5"/>
  <c r="J13" i="8"/>
  <c r="M70" i="5"/>
  <c r="M93" i="5" s="1"/>
  <c r="M73" i="5"/>
  <c r="M96" i="5" s="1"/>
  <c r="M65" i="5"/>
  <c r="M88" i="5" s="1"/>
  <c r="M63" i="5"/>
  <c r="M86" i="5" s="1"/>
  <c r="M62" i="5"/>
  <c r="M85" i="5" s="1"/>
  <c r="M61" i="5"/>
  <c r="M84" i="5" s="1"/>
  <c r="M60" i="5"/>
  <c r="M83" i="5" s="1"/>
  <c r="L46" i="7"/>
  <c r="I17" i="9"/>
  <c r="M41" i="7"/>
  <c r="M228" i="4"/>
  <c r="M215" i="4"/>
  <c r="M42" i="7"/>
  <c r="M45" i="7"/>
  <c r="M44" i="7"/>
  <c r="M43" i="7"/>
  <c r="M202" i="4"/>
  <c r="I38" i="7"/>
  <c r="G18" i="11" s="1"/>
  <c r="H14" i="9"/>
  <c r="I9" i="8"/>
  <c r="H13" i="9"/>
  <c r="I20" i="11"/>
  <c r="K15" i="8"/>
  <c r="J26" i="13"/>
  <c r="J25" i="13"/>
  <c r="J38" i="13"/>
  <c r="J39" i="13"/>
  <c r="J156" i="4"/>
  <c r="J176" i="4" s="1"/>
  <c r="H45" i="13"/>
  <c r="H46" i="13" s="1"/>
  <c r="E24" i="9" s="1"/>
  <c r="G46" i="13"/>
  <c r="E51" i="7"/>
  <c r="N5" i="4"/>
  <c r="M31" i="5"/>
  <c r="I30" i="9"/>
  <c r="N11" i="5"/>
  <c r="N34" i="5" s="1"/>
  <c r="N59" i="5" s="1"/>
  <c r="N82" i="5" s="1"/>
  <c r="N15" i="5"/>
  <c r="N38" i="5" s="1"/>
  <c r="N63" i="5" s="1"/>
  <c r="N86" i="5" s="1"/>
  <c r="N19" i="5"/>
  <c r="N42" i="5" s="1"/>
  <c r="N67" i="5" s="1"/>
  <c r="N90" i="5" s="1"/>
  <c r="N23" i="5"/>
  <c r="N46" i="5" s="1"/>
  <c r="N13" i="5"/>
  <c r="N36" i="5" s="1"/>
  <c r="N61" i="5" s="1"/>
  <c r="N84" i="5" s="1"/>
  <c r="N10" i="5"/>
  <c r="N33" i="5" s="1"/>
  <c r="N58" i="5" s="1"/>
  <c r="N81" i="5" s="1"/>
  <c r="N14" i="5"/>
  <c r="N37" i="5" s="1"/>
  <c r="N62" i="5" s="1"/>
  <c r="N18" i="5"/>
  <c r="N41" i="5" s="1"/>
  <c r="N66" i="5" s="1"/>
  <c r="N89" i="5" s="1"/>
  <c r="N22" i="5"/>
  <c r="N45" i="5" s="1"/>
  <c r="N70" i="5" s="1"/>
  <c r="N93" i="5" s="1"/>
  <c r="N9" i="5"/>
  <c r="N32" i="5" s="1"/>
  <c r="N57" i="5" s="1"/>
  <c r="N80" i="5" s="1"/>
  <c r="N12" i="5"/>
  <c r="N35" i="5" s="1"/>
  <c r="N20" i="5"/>
  <c r="N43" i="5" s="1"/>
  <c r="N68" i="5" s="1"/>
  <c r="N91" i="5" s="1"/>
  <c r="N16" i="5"/>
  <c r="N39" i="5" s="1"/>
  <c r="N64" i="5" s="1"/>
  <c r="N87" i="5" s="1"/>
  <c r="N8" i="5"/>
  <c r="N17" i="5"/>
  <c r="N40" i="5" s="1"/>
  <c r="N65" i="5" s="1"/>
  <c r="N88" i="5" s="1"/>
  <c r="N25" i="5"/>
  <c r="N48" i="5" s="1"/>
  <c r="N73" i="5" s="1"/>
  <c r="N96" i="5" s="1"/>
  <c r="N21" i="5"/>
  <c r="N44" i="5" s="1"/>
  <c r="N69" i="5" s="1"/>
  <c r="N92" i="5" s="1"/>
  <c r="N24" i="5"/>
  <c r="N47" i="5" s="1"/>
  <c r="H21" i="7"/>
  <c r="F13" i="11"/>
  <c r="H22" i="7"/>
  <c r="F14" i="11"/>
  <c r="I18" i="7"/>
  <c r="I8" i="8"/>
  <c r="I6" i="8"/>
  <c r="I5" i="8" s="1"/>
  <c r="G7" i="11" s="1"/>
  <c r="I17" i="7"/>
  <c r="H49" i="7"/>
  <c r="H50" i="7" s="1"/>
  <c r="H51" i="7" s="1"/>
  <c r="H54" i="7"/>
  <c r="H59" i="7" s="1"/>
  <c r="G49" i="7"/>
  <c r="G54" i="7"/>
  <c r="I43" i="13"/>
  <c r="K24" i="13"/>
  <c r="H10" i="9"/>
  <c r="H9" i="9" s="1"/>
  <c r="I10" i="8"/>
  <c r="G9" i="11" s="1"/>
  <c r="K37" i="13"/>
  <c r="K10" i="13"/>
  <c r="K12" i="13" s="1"/>
  <c r="H11" i="8"/>
  <c r="F22" i="11" s="1"/>
  <c r="J11" i="13"/>
  <c r="J13" i="13" s="1"/>
  <c r="I44" i="13"/>
  <c r="I178" i="4"/>
  <c r="H15" i="9" s="1"/>
  <c r="C35" i="6"/>
  <c r="F40" i="6" s="1"/>
  <c r="K190" i="4"/>
  <c r="K186" i="4"/>
  <c r="K182" i="4"/>
  <c r="K185" i="4"/>
  <c r="K191" i="4"/>
  <c r="K187" i="4"/>
  <c r="K183" i="4"/>
  <c r="K188" i="4"/>
  <c r="K184" i="4"/>
  <c r="K189" i="4"/>
  <c r="L4" i="4"/>
  <c r="K152" i="4"/>
  <c r="K174" i="4" s="1"/>
  <c r="K148" i="4"/>
  <c r="K170" i="4" s="1"/>
  <c r="K144" i="4"/>
  <c r="K166" i="4" s="1"/>
  <c r="K140" i="4"/>
  <c r="K162" i="4" s="1"/>
  <c r="K136" i="4"/>
  <c r="K158" i="4" s="1"/>
  <c r="K153" i="4"/>
  <c r="K175" i="4" s="1"/>
  <c r="K149" i="4"/>
  <c r="K171" i="4" s="1"/>
  <c r="K145" i="4"/>
  <c r="K167" i="4" s="1"/>
  <c r="K141" i="4"/>
  <c r="K163" i="4" s="1"/>
  <c r="K137" i="4"/>
  <c r="K159" i="4" s="1"/>
  <c r="K150" i="4"/>
  <c r="K172" i="4" s="1"/>
  <c r="K151" i="4"/>
  <c r="K173" i="4" s="1"/>
  <c r="K147" i="4"/>
  <c r="K169" i="4" s="1"/>
  <c r="K139" i="4"/>
  <c r="K161" i="4" s="1"/>
  <c r="K146" i="4"/>
  <c r="K168" i="4" s="1"/>
  <c r="K138" i="4"/>
  <c r="K160" i="4" s="1"/>
  <c r="K142" i="4"/>
  <c r="K164" i="4" s="1"/>
  <c r="K134" i="4"/>
  <c r="K143" i="4"/>
  <c r="K165" i="4" s="1"/>
  <c r="K135" i="4"/>
  <c r="K157" i="4" s="1"/>
  <c r="K96" i="4"/>
  <c r="K104" i="4" s="1"/>
  <c r="K97" i="4"/>
  <c r="K105" i="4" s="1"/>
  <c r="K99" i="4"/>
  <c r="K107" i="4" s="1"/>
  <c r="K100" i="4"/>
  <c r="K108" i="4" s="1"/>
  <c r="K98" i="4"/>
  <c r="K106" i="4" s="1"/>
  <c r="K95" i="4"/>
  <c r="K103" i="4" s="1"/>
  <c r="J109" i="4"/>
  <c r="J84" i="4"/>
  <c r="I12" i="9" s="1"/>
  <c r="K69" i="4"/>
  <c r="K81" i="4" s="1"/>
  <c r="K65" i="4"/>
  <c r="K77" i="4" s="1"/>
  <c r="K70" i="4"/>
  <c r="K82" i="4" s="1"/>
  <c r="K66" i="4"/>
  <c r="K78" i="4" s="1"/>
  <c r="K71" i="4"/>
  <c r="K83" i="4" s="1"/>
  <c r="K67" i="4"/>
  <c r="K79" i="4" s="1"/>
  <c r="K63" i="4"/>
  <c r="K75" i="4" s="1"/>
  <c r="K62" i="4"/>
  <c r="K74" i="4" s="1"/>
  <c r="K64" i="4"/>
  <c r="K76" i="4" s="1"/>
  <c r="K68" i="4"/>
  <c r="K80" i="4" s="1"/>
  <c r="L3" i="4"/>
  <c r="O3" i="5" s="1"/>
  <c r="K29" i="4"/>
  <c r="K41" i="4" s="1"/>
  <c r="K25" i="4"/>
  <c r="K37" i="4" s="1"/>
  <c r="K30" i="4"/>
  <c r="K42" i="4" s="1"/>
  <c r="K26" i="4"/>
  <c r="K38" i="4" s="1"/>
  <c r="K22" i="4"/>
  <c r="K34" i="4" s="1"/>
  <c r="K31" i="4"/>
  <c r="K43" i="4" s="1"/>
  <c r="K27" i="4"/>
  <c r="K39" i="4" s="1"/>
  <c r="K23" i="4"/>
  <c r="K35" i="4" s="1"/>
  <c r="K28" i="4"/>
  <c r="K40" i="4" s="1"/>
  <c r="K24" i="4"/>
  <c r="K36" i="4" s="1"/>
  <c r="J44" i="4"/>
  <c r="N85" i="5" l="1"/>
  <c r="K13" i="8"/>
  <c r="N72" i="5"/>
  <c r="N95" i="5" s="1"/>
  <c r="N71" i="5"/>
  <c r="N94" i="5" s="1"/>
  <c r="M56" i="5"/>
  <c r="M79" i="5" s="1"/>
  <c r="N60" i="5"/>
  <c r="N83" i="5" s="1"/>
  <c r="N41" i="7"/>
  <c r="N44" i="7"/>
  <c r="N228" i="4"/>
  <c r="N43" i="7"/>
  <c r="N202" i="4"/>
  <c r="N45" i="7"/>
  <c r="N215" i="4"/>
  <c r="N42" i="7"/>
  <c r="L19" i="9"/>
  <c r="M46" i="7"/>
  <c r="M19" i="9" s="1"/>
  <c r="D24" i="9"/>
  <c r="J17" i="9"/>
  <c r="J38" i="7"/>
  <c r="H18" i="11" s="1"/>
  <c r="I14" i="9"/>
  <c r="J9" i="8"/>
  <c r="I13" i="9"/>
  <c r="J20" i="11"/>
  <c r="L15" i="8"/>
  <c r="K38" i="13"/>
  <c r="K39" i="13"/>
  <c r="K25" i="13"/>
  <c r="K26" i="13"/>
  <c r="K156" i="4"/>
  <c r="K176" i="4" s="1"/>
  <c r="G50" i="7"/>
  <c r="G59" i="7"/>
  <c r="O40" i="6"/>
  <c r="L40" i="6"/>
  <c r="N40" i="6"/>
  <c r="K40" i="6"/>
  <c r="M40" i="6"/>
  <c r="N31" i="5"/>
  <c r="N56" i="5" s="1"/>
  <c r="J30" i="9"/>
  <c r="O12" i="5"/>
  <c r="O35" i="5" s="1"/>
  <c r="O60" i="5" s="1"/>
  <c r="O83" i="5" s="1"/>
  <c r="O16" i="5"/>
  <c r="O39" i="5" s="1"/>
  <c r="O64" i="5" s="1"/>
  <c r="O87" i="5" s="1"/>
  <c r="O20" i="5"/>
  <c r="O43" i="5" s="1"/>
  <c r="O68" i="5" s="1"/>
  <c r="O91" i="5" s="1"/>
  <c r="O24" i="5"/>
  <c r="O47" i="5" s="1"/>
  <c r="O72" i="5" s="1"/>
  <c r="O95" i="5" s="1"/>
  <c r="O14" i="5"/>
  <c r="O37" i="5" s="1"/>
  <c r="O62" i="5" s="1"/>
  <c r="O85" i="5" s="1"/>
  <c r="O11" i="5"/>
  <c r="O34" i="5" s="1"/>
  <c r="O59" i="5" s="1"/>
  <c r="O82" i="5" s="1"/>
  <c r="O15" i="5"/>
  <c r="O38" i="5" s="1"/>
  <c r="O63" i="5" s="1"/>
  <c r="O86" i="5" s="1"/>
  <c r="O19" i="5"/>
  <c r="O42" i="5" s="1"/>
  <c r="O67" i="5" s="1"/>
  <c r="O90" i="5" s="1"/>
  <c r="O23" i="5"/>
  <c r="O46" i="5" s="1"/>
  <c r="O71" i="5" s="1"/>
  <c r="O94" i="5" s="1"/>
  <c r="O10" i="5"/>
  <c r="O33" i="5" s="1"/>
  <c r="O58" i="5" s="1"/>
  <c r="O81" i="5" s="1"/>
  <c r="O13" i="5"/>
  <c r="O36" i="5" s="1"/>
  <c r="O61" i="5" s="1"/>
  <c r="O84" i="5" s="1"/>
  <c r="O21" i="5"/>
  <c r="O44" i="5" s="1"/>
  <c r="O69" i="5" s="1"/>
  <c r="O92" i="5" s="1"/>
  <c r="O8" i="5"/>
  <c r="O31" i="5" s="1"/>
  <c r="O17" i="5"/>
  <c r="O40" i="5" s="1"/>
  <c r="O65" i="5" s="1"/>
  <c r="O88" i="5" s="1"/>
  <c r="O25" i="5"/>
  <c r="O48" i="5" s="1"/>
  <c r="O73" i="5" s="1"/>
  <c r="O96" i="5" s="1"/>
  <c r="O9" i="5"/>
  <c r="O32" i="5" s="1"/>
  <c r="O57" i="5" s="1"/>
  <c r="O80" i="5" s="1"/>
  <c r="O18" i="5"/>
  <c r="O41" i="5" s="1"/>
  <c r="O66" i="5" s="1"/>
  <c r="O89" i="5" s="1"/>
  <c r="O22" i="5"/>
  <c r="O45" i="5" s="1"/>
  <c r="O70" i="5" s="1"/>
  <c r="O93" i="5" s="1"/>
  <c r="I21" i="7"/>
  <c r="G13" i="11"/>
  <c r="I22" i="7"/>
  <c r="G14" i="11"/>
  <c r="J17" i="7"/>
  <c r="J6" i="8"/>
  <c r="J18" i="7"/>
  <c r="J8" i="8"/>
  <c r="I49" i="7"/>
  <c r="I50" i="7" s="1"/>
  <c r="I51" i="7" s="1"/>
  <c r="I54" i="7"/>
  <c r="I59" i="7" s="1"/>
  <c r="I45" i="13"/>
  <c r="J43" i="13"/>
  <c r="I11" i="8"/>
  <c r="G22" i="11" s="1"/>
  <c r="L37" i="13"/>
  <c r="L10" i="13"/>
  <c r="L12" i="13" s="1"/>
  <c r="J44" i="13"/>
  <c r="J10" i="8"/>
  <c r="H9" i="11" s="1"/>
  <c r="K11" i="13"/>
  <c r="K13" i="13" s="1"/>
  <c r="L24" i="13"/>
  <c r="I10" i="9"/>
  <c r="J178" i="4"/>
  <c r="I15" i="9" s="1"/>
  <c r="L189" i="4"/>
  <c r="L185" i="4"/>
  <c r="L190" i="4"/>
  <c r="L186" i="4"/>
  <c r="L182" i="4"/>
  <c r="L188" i="4"/>
  <c r="L191" i="4"/>
  <c r="L187" i="4"/>
  <c r="L183" i="4"/>
  <c r="L184" i="4"/>
  <c r="M4" i="4"/>
  <c r="L151" i="4"/>
  <c r="L173" i="4" s="1"/>
  <c r="L147" i="4"/>
  <c r="L169" i="4" s="1"/>
  <c r="L143" i="4"/>
  <c r="L165" i="4" s="1"/>
  <c r="L139" i="4"/>
  <c r="L161" i="4" s="1"/>
  <c r="L135" i="4"/>
  <c r="L157" i="4" s="1"/>
  <c r="L153" i="4"/>
  <c r="L175" i="4" s="1"/>
  <c r="L152" i="4"/>
  <c r="L174" i="4" s="1"/>
  <c r="L148" i="4"/>
  <c r="L170" i="4" s="1"/>
  <c r="L144" i="4"/>
  <c r="L166" i="4" s="1"/>
  <c r="L140" i="4"/>
  <c r="L162" i="4" s="1"/>
  <c r="L136" i="4"/>
  <c r="L158" i="4" s="1"/>
  <c r="L149" i="4"/>
  <c r="L171" i="4" s="1"/>
  <c r="L150" i="4"/>
  <c r="L172" i="4" s="1"/>
  <c r="L146" i="4"/>
  <c r="L168" i="4" s="1"/>
  <c r="L138" i="4"/>
  <c r="L160" i="4" s="1"/>
  <c r="L145" i="4"/>
  <c r="L167" i="4" s="1"/>
  <c r="L137" i="4"/>
  <c r="L159" i="4" s="1"/>
  <c r="L141" i="4"/>
  <c r="L163" i="4" s="1"/>
  <c r="L142" i="4"/>
  <c r="L164" i="4" s="1"/>
  <c r="L134" i="4"/>
  <c r="L99" i="4"/>
  <c r="L107" i="4" s="1"/>
  <c r="L96" i="4"/>
  <c r="L104" i="4" s="1"/>
  <c r="L95" i="4"/>
  <c r="L103" i="4" s="1"/>
  <c r="L97" i="4"/>
  <c r="L105" i="4" s="1"/>
  <c r="L100" i="4"/>
  <c r="L108" i="4" s="1"/>
  <c r="L98" i="4"/>
  <c r="L106" i="4" s="1"/>
  <c r="K109" i="4"/>
  <c r="L68" i="4"/>
  <c r="L80" i="4" s="1"/>
  <c r="L64" i="4"/>
  <c r="L76" i="4" s="1"/>
  <c r="L62" i="4"/>
  <c r="L74" i="4" s="1"/>
  <c r="L69" i="4"/>
  <c r="L81" i="4" s="1"/>
  <c r="L65" i="4"/>
  <c r="L77" i="4" s="1"/>
  <c r="L70" i="4"/>
  <c r="L82" i="4" s="1"/>
  <c r="L66" i="4"/>
  <c r="L78" i="4" s="1"/>
  <c r="L63" i="4"/>
  <c r="L75" i="4" s="1"/>
  <c r="L67" i="4"/>
  <c r="L79" i="4" s="1"/>
  <c r="L71" i="4"/>
  <c r="L83" i="4" s="1"/>
  <c r="K84" i="4"/>
  <c r="J12" i="9" s="1"/>
  <c r="K44" i="4"/>
  <c r="M3" i="4"/>
  <c r="P3" i="5" s="1"/>
  <c r="L28" i="4"/>
  <c r="L40" i="4" s="1"/>
  <c r="L24" i="4"/>
  <c r="L36" i="4" s="1"/>
  <c r="L29" i="4"/>
  <c r="L41" i="4" s="1"/>
  <c r="L25" i="4"/>
  <c r="L37" i="4" s="1"/>
  <c r="L30" i="4"/>
  <c r="L42" i="4" s="1"/>
  <c r="L26" i="4"/>
  <c r="L38" i="4" s="1"/>
  <c r="L22" i="4"/>
  <c r="L34" i="4" s="1"/>
  <c r="L31" i="4"/>
  <c r="L43" i="4" s="1"/>
  <c r="L27" i="4"/>
  <c r="L39" i="4" s="1"/>
  <c r="L23" i="4"/>
  <c r="L35" i="4" s="1"/>
  <c r="N79" i="5" l="1"/>
  <c r="L13" i="8"/>
  <c r="O56" i="5"/>
  <c r="O79" i="5" s="1"/>
  <c r="K17" i="9"/>
  <c r="N46" i="7"/>
  <c r="K38" i="7"/>
  <c r="I18" i="11" s="1"/>
  <c r="J14" i="9"/>
  <c r="K9" i="8"/>
  <c r="J13" i="9"/>
  <c r="K20" i="11"/>
  <c r="M15" i="8"/>
  <c r="L25" i="13"/>
  <c r="L26" i="13"/>
  <c r="L39" i="13"/>
  <c r="L38" i="13"/>
  <c r="L156" i="4"/>
  <c r="L176" i="4" s="1"/>
  <c r="K43" i="13"/>
  <c r="I46" i="13"/>
  <c r="G51" i="7"/>
  <c r="K30" i="9"/>
  <c r="P9" i="5"/>
  <c r="P32" i="5" s="1"/>
  <c r="P57" i="5" s="1"/>
  <c r="P80" i="5" s="1"/>
  <c r="P13" i="5"/>
  <c r="P36" i="5" s="1"/>
  <c r="P61" i="5" s="1"/>
  <c r="P84" i="5" s="1"/>
  <c r="P17" i="5"/>
  <c r="P40" i="5" s="1"/>
  <c r="P65" i="5" s="1"/>
  <c r="P88" i="5" s="1"/>
  <c r="P21" i="5"/>
  <c r="P44" i="5" s="1"/>
  <c r="P69" i="5" s="1"/>
  <c r="P92" i="5" s="1"/>
  <c r="P25" i="5"/>
  <c r="P48" i="5" s="1"/>
  <c r="P73" i="5" s="1"/>
  <c r="P96" i="5" s="1"/>
  <c r="P8" i="5"/>
  <c r="P31" i="5" s="1"/>
  <c r="P56" i="5" s="1"/>
  <c r="P12" i="5"/>
  <c r="P35" i="5" s="1"/>
  <c r="P60" i="5" s="1"/>
  <c r="P83" i="5" s="1"/>
  <c r="P16" i="5"/>
  <c r="P39" i="5" s="1"/>
  <c r="P64" i="5" s="1"/>
  <c r="P87" i="5" s="1"/>
  <c r="P20" i="5"/>
  <c r="P43" i="5" s="1"/>
  <c r="P68" i="5" s="1"/>
  <c r="P91" i="5" s="1"/>
  <c r="P24" i="5"/>
  <c r="P47" i="5" s="1"/>
  <c r="P72" i="5" s="1"/>
  <c r="P95" i="5" s="1"/>
  <c r="P11" i="5"/>
  <c r="P34" i="5" s="1"/>
  <c r="P59" i="5" s="1"/>
  <c r="P82" i="5" s="1"/>
  <c r="P14" i="5"/>
  <c r="P37" i="5" s="1"/>
  <c r="P62" i="5" s="1"/>
  <c r="P85" i="5" s="1"/>
  <c r="P22" i="5"/>
  <c r="P45" i="5" s="1"/>
  <c r="P70" i="5" s="1"/>
  <c r="P93" i="5" s="1"/>
  <c r="P18" i="5"/>
  <c r="P41" i="5" s="1"/>
  <c r="P66" i="5" s="1"/>
  <c r="P89" i="5" s="1"/>
  <c r="P15" i="5"/>
  <c r="P38" i="5" s="1"/>
  <c r="P63" i="5" s="1"/>
  <c r="P86" i="5" s="1"/>
  <c r="P23" i="5"/>
  <c r="P46" i="5" s="1"/>
  <c r="P71" i="5" s="1"/>
  <c r="P94" i="5" s="1"/>
  <c r="P10" i="5"/>
  <c r="P33" i="5" s="1"/>
  <c r="P58" i="5" s="1"/>
  <c r="P81" i="5" s="1"/>
  <c r="P19" i="5"/>
  <c r="P42" i="5" s="1"/>
  <c r="P67" i="5" s="1"/>
  <c r="P90" i="5" s="1"/>
  <c r="J22" i="7"/>
  <c r="H14" i="11"/>
  <c r="J21" i="7"/>
  <c r="H13" i="11"/>
  <c r="K17" i="7"/>
  <c r="K6" i="8"/>
  <c r="K5" i="8" s="1"/>
  <c r="I7" i="11" s="1"/>
  <c r="K18" i="7"/>
  <c r="K8" i="8"/>
  <c r="J45" i="13"/>
  <c r="J46" i="13" s="1"/>
  <c r="K44" i="13"/>
  <c r="M24" i="13"/>
  <c r="J10" i="9"/>
  <c r="J9" i="9" s="1"/>
  <c r="K10" i="8"/>
  <c r="I9" i="11" s="1"/>
  <c r="M37" i="13"/>
  <c r="M10" i="13"/>
  <c r="M12" i="13" s="1"/>
  <c r="J11" i="8"/>
  <c r="H22" i="11" s="1"/>
  <c r="I9" i="9"/>
  <c r="L11" i="13"/>
  <c r="L13" i="13" s="1"/>
  <c r="J5" i="8"/>
  <c r="H7" i="11" s="1"/>
  <c r="K178" i="4"/>
  <c r="M188" i="4"/>
  <c r="M184" i="4"/>
  <c r="M187" i="4"/>
  <c r="M189" i="4"/>
  <c r="M185" i="4"/>
  <c r="M191" i="4"/>
  <c r="M183" i="4"/>
  <c r="M190" i="4"/>
  <c r="M186" i="4"/>
  <c r="M182" i="4"/>
  <c r="N4" i="4"/>
  <c r="M150" i="4"/>
  <c r="M172" i="4" s="1"/>
  <c r="M146" i="4"/>
  <c r="M168" i="4" s="1"/>
  <c r="M142" i="4"/>
  <c r="M164" i="4" s="1"/>
  <c r="M138" i="4"/>
  <c r="M160" i="4" s="1"/>
  <c r="M134" i="4"/>
  <c r="M152" i="4"/>
  <c r="M174" i="4" s="1"/>
  <c r="M151" i="4"/>
  <c r="M173" i="4" s="1"/>
  <c r="M147" i="4"/>
  <c r="M169" i="4" s="1"/>
  <c r="M143" i="4"/>
  <c r="M165" i="4" s="1"/>
  <c r="M139" i="4"/>
  <c r="M161" i="4" s="1"/>
  <c r="M135" i="4"/>
  <c r="M157" i="4" s="1"/>
  <c r="M149" i="4"/>
  <c r="M171" i="4" s="1"/>
  <c r="M145" i="4"/>
  <c r="M167" i="4" s="1"/>
  <c r="M137" i="4"/>
  <c r="M159" i="4" s="1"/>
  <c r="M144" i="4"/>
  <c r="M166" i="4" s="1"/>
  <c r="M153" i="4"/>
  <c r="M175" i="4" s="1"/>
  <c r="M148" i="4"/>
  <c r="M170" i="4" s="1"/>
  <c r="M140" i="4"/>
  <c r="M162" i="4" s="1"/>
  <c r="M136" i="4"/>
  <c r="M158" i="4" s="1"/>
  <c r="M141" i="4"/>
  <c r="M163" i="4" s="1"/>
  <c r="M100" i="4"/>
  <c r="M108" i="4" s="1"/>
  <c r="M98" i="4"/>
  <c r="M106" i="4" s="1"/>
  <c r="M95" i="4"/>
  <c r="M103" i="4" s="1"/>
  <c r="M99" i="4"/>
  <c r="M107" i="4" s="1"/>
  <c r="M97" i="4"/>
  <c r="M105" i="4" s="1"/>
  <c r="M96" i="4"/>
  <c r="M104" i="4" s="1"/>
  <c r="L109" i="4"/>
  <c r="L84" i="4"/>
  <c r="K12" i="9" s="1"/>
  <c r="M71" i="4"/>
  <c r="M83" i="4" s="1"/>
  <c r="M67" i="4"/>
  <c r="M79" i="4" s="1"/>
  <c r="M63" i="4"/>
  <c r="M75" i="4" s="1"/>
  <c r="M68" i="4"/>
  <c r="M80" i="4" s="1"/>
  <c r="M64" i="4"/>
  <c r="M76" i="4" s="1"/>
  <c r="M69" i="4"/>
  <c r="M81" i="4" s="1"/>
  <c r="M65" i="4"/>
  <c r="M77" i="4" s="1"/>
  <c r="M62" i="4"/>
  <c r="M74" i="4" s="1"/>
  <c r="M66" i="4"/>
  <c r="M78" i="4" s="1"/>
  <c r="M70" i="4"/>
  <c r="M82" i="4" s="1"/>
  <c r="N3" i="4"/>
  <c r="Q3" i="5" s="1"/>
  <c r="M31" i="4"/>
  <c r="M43" i="4" s="1"/>
  <c r="M27" i="4"/>
  <c r="M39" i="4" s="1"/>
  <c r="M23" i="4"/>
  <c r="M35" i="4" s="1"/>
  <c r="M28" i="4"/>
  <c r="M40" i="4" s="1"/>
  <c r="M24" i="4"/>
  <c r="M36" i="4" s="1"/>
  <c r="M29" i="4"/>
  <c r="M41" i="4" s="1"/>
  <c r="M25" i="4"/>
  <c r="M37" i="4" s="1"/>
  <c r="M30" i="4"/>
  <c r="M42" i="4" s="1"/>
  <c r="M26" i="4"/>
  <c r="M38" i="4" s="1"/>
  <c r="M22" i="4"/>
  <c r="M34" i="4" s="1"/>
  <c r="L44" i="4"/>
  <c r="P79" i="5" l="1"/>
  <c r="M13" i="8"/>
  <c r="L17" i="9"/>
  <c r="L38" i="7"/>
  <c r="J18" i="11" s="1"/>
  <c r="K14" i="9"/>
  <c r="M11" i="13"/>
  <c r="M13" i="13" s="1"/>
  <c r="J15" i="9"/>
  <c r="L9" i="8"/>
  <c r="K13" i="9"/>
  <c r="G24" i="9"/>
  <c r="F24" i="9"/>
  <c r="L20" i="11"/>
  <c r="N15" i="8"/>
  <c r="M38" i="13"/>
  <c r="M39" i="13"/>
  <c r="M26" i="13"/>
  <c r="M25" i="13"/>
  <c r="M156" i="4"/>
  <c r="M176" i="4" s="1"/>
  <c r="L30" i="9"/>
  <c r="Q10" i="5"/>
  <c r="Q33" i="5" s="1"/>
  <c r="Q58" i="5" s="1"/>
  <c r="Q14" i="5"/>
  <c r="Q37" i="5" s="1"/>
  <c r="Q62" i="5" s="1"/>
  <c r="Q18" i="5"/>
  <c r="Q41" i="5" s="1"/>
  <c r="Q66" i="5" s="1"/>
  <c r="Q22" i="5"/>
  <c r="Q45" i="5" s="1"/>
  <c r="Q70" i="5" s="1"/>
  <c r="Q9" i="5"/>
  <c r="Q32" i="5" s="1"/>
  <c r="Q57" i="5" s="1"/>
  <c r="Q13" i="5"/>
  <c r="Q36" i="5" s="1"/>
  <c r="Q61" i="5" s="1"/>
  <c r="Q17" i="5"/>
  <c r="Q40" i="5" s="1"/>
  <c r="Q65" i="5" s="1"/>
  <c r="Q21" i="5"/>
  <c r="Q44" i="5" s="1"/>
  <c r="Q69" i="5" s="1"/>
  <c r="Q25" i="5"/>
  <c r="Q48" i="5" s="1"/>
  <c r="Q73" i="5" s="1"/>
  <c r="Q8" i="5"/>
  <c r="Q12" i="5"/>
  <c r="Q35" i="5" s="1"/>
  <c r="Q60" i="5" s="1"/>
  <c r="Q15" i="5"/>
  <c r="Q38" i="5" s="1"/>
  <c r="Q63" i="5" s="1"/>
  <c r="Q23" i="5"/>
  <c r="Q46" i="5" s="1"/>
  <c r="Q71" i="5" s="1"/>
  <c r="Q16" i="5"/>
  <c r="Q39" i="5" s="1"/>
  <c r="Q64" i="5" s="1"/>
  <c r="Q11" i="5"/>
  <c r="Q34" i="5" s="1"/>
  <c r="Q59" i="5" s="1"/>
  <c r="Q20" i="5"/>
  <c r="Q43" i="5" s="1"/>
  <c r="Q68" i="5" s="1"/>
  <c r="Q19" i="5"/>
  <c r="Q42" i="5" s="1"/>
  <c r="Q67" i="5" s="1"/>
  <c r="Q24" i="5"/>
  <c r="Q47" i="5" s="1"/>
  <c r="Q72" i="5" s="1"/>
  <c r="K22" i="7"/>
  <c r="I14" i="11"/>
  <c r="K21" i="7"/>
  <c r="I13" i="11"/>
  <c r="L6" i="8"/>
  <c r="L17" i="7"/>
  <c r="L8" i="8"/>
  <c r="L18" i="7"/>
  <c r="J49" i="7"/>
  <c r="J54" i="7"/>
  <c r="K49" i="7"/>
  <c r="K50" i="7" s="1"/>
  <c r="K51" i="7" s="1"/>
  <c r="K54" i="7"/>
  <c r="K59" i="7" s="1"/>
  <c r="K45" i="13"/>
  <c r="K46" i="13" s="1"/>
  <c r="L44" i="13"/>
  <c r="L43" i="13"/>
  <c r="L10" i="8"/>
  <c r="J9" i="11" s="1"/>
  <c r="N24" i="13"/>
  <c r="K10" i="9"/>
  <c r="N37" i="13"/>
  <c r="N10" i="13"/>
  <c r="N12" i="13" s="1"/>
  <c r="K11" i="8"/>
  <c r="I22" i="11" s="1"/>
  <c r="L178" i="4"/>
  <c r="K15" i="9" s="1"/>
  <c r="N191" i="4"/>
  <c r="N187" i="4"/>
  <c r="N183" i="4"/>
  <c r="N190" i="4"/>
  <c r="N186" i="4"/>
  <c r="N188" i="4"/>
  <c r="N184" i="4"/>
  <c r="N189" i="4"/>
  <c r="N185" i="4"/>
  <c r="N182" i="4"/>
  <c r="N153" i="4"/>
  <c r="N175" i="4" s="1"/>
  <c r="N149" i="4"/>
  <c r="N171" i="4" s="1"/>
  <c r="N145" i="4"/>
  <c r="N167" i="4" s="1"/>
  <c r="N141" i="4"/>
  <c r="N163" i="4" s="1"/>
  <c r="N137" i="4"/>
  <c r="N159" i="4" s="1"/>
  <c r="N150" i="4"/>
  <c r="N172" i="4" s="1"/>
  <c r="N146" i="4"/>
  <c r="N168" i="4" s="1"/>
  <c r="N142" i="4"/>
  <c r="N164" i="4" s="1"/>
  <c r="N138" i="4"/>
  <c r="N160" i="4" s="1"/>
  <c r="N134" i="4"/>
  <c r="N151" i="4"/>
  <c r="N173" i="4" s="1"/>
  <c r="N144" i="4"/>
  <c r="N166" i="4" s="1"/>
  <c r="N136" i="4"/>
  <c r="N158" i="4" s="1"/>
  <c r="N152" i="4"/>
  <c r="N174" i="4" s="1"/>
  <c r="N147" i="4"/>
  <c r="N169" i="4" s="1"/>
  <c r="N139" i="4"/>
  <c r="N161" i="4" s="1"/>
  <c r="N148" i="4"/>
  <c r="N170" i="4" s="1"/>
  <c r="N140" i="4"/>
  <c r="N162" i="4" s="1"/>
  <c r="N143" i="4"/>
  <c r="N165" i="4" s="1"/>
  <c r="N135" i="4"/>
  <c r="N157" i="4" s="1"/>
  <c r="N97" i="4"/>
  <c r="N105" i="4" s="1"/>
  <c r="N100" i="4"/>
  <c r="N108" i="4" s="1"/>
  <c r="N98" i="4"/>
  <c r="N106" i="4" s="1"/>
  <c r="N95" i="4"/>
  <c r="N103" i="4" s="1"/>
  <c r="N99" i="4"/>
  <c r="N107" i="4" s="1"/>
  <c r="N96" i="4"/>
  <c r="N104" i="4" s="1"/>
  <c r="M109" i="4"/>
  <c r="N70" i="4"/>
  <c r="N82" i="4" s="1"/>
  <c r="N66" i="4"/>
  <c r="N78" i="4" s="1"/>
  <c r="N62" i="4"/>
  <c r="N74" i="4" s="1"/>
  <c r="N71" i="4"/>
  <c r="N83" i="4" s="1"/>
  <c r="N67" i="4"/>
  <c r="N79" i="4" s="1"/>
  <c r="N63" i="4"/>
  <c r="N75" i="4" s="1"/>
  <c r="N68" i="4"/>
  <c r="N80" i="4" s="1"/>
  <c r="N64" i="4"/>
  <c r="N76" i="4" s="1"/>
  <c r="N65" i="4"/>
  <c r="N77" i="4" s="1"/>
  <c r="N69" i="4"/>
  <c r="N81" i="4" s="1"/>
  <c r="M84" i="4"/>
  <c r="L12" i="9" s="1"/>
  <c r="M44" i="4"/>
  <c r="N30" i="4"/>
  <c r="N42" i="4" s="1"/>
  <c r="N26" i="4"/>
  <c r="N38" i="4" s="1"/>
  <c r="N22" i="4"/>
  <c r="N34" i="4" s="1"/>
  <c r="N31" i="4"/>
  <c r="N43" i="4" s="1"/>
  <c r="N27" i="4"/>
  <c r="N39" i="4" s="1"/>
  <c r="N23" i="4"/>
  <c r="N35" i="4" s="1"/>
  <c r="N28" i="4"/>
  <c r="N40" i="4" s="1"/>
  <c r="N24" i="4"/>
  <c r="N36" i="4" s="1"/>
  <c r="N29" i="4"/>
  <c r="N41" i="4" s="1"/>
  <c r="N25" i="4"/>
  <c r="N37" i="4" s="1"/>
  <c r="Q95" i="5" l="1"/>
  <c r="Q90" i="5"/>
  <c r="Q91" i="5"/>
  <c r="Q87" i="5"/>
  <c r="Q94" i="5"/>
  <c r="Q86" i="5"/>
  <c r="Q96" i="5"/>
  <c r="Q92" i="5"/>
  <c r="Q88" i="5"/>
  <c r="Q93" i="5"/>
  <c r="Q89" i="5"/>
  <c r="Q85" i="5"/>
  <c r="Q84" i="5"/>
  <c r="Q83" i="5"/>
  <c r="Q82" i="5"/>
  <c r="Q81" i="5"/>
  <c r="Q80" i="5"/>
  <c r="N13" i="8"/>
  <c r="M17" i="9"/>
  <c r="M38" i="7"/>
  <c r="K18" i="11" s="1"/>
  <c r="L14" i="9"/>
  <c r="M9" i="8"/>
  <c r="L13" i="9"/>
  <c r="H24" i="9"/>
  <c r="N26" i="13"/>
  <c r="N25" i="13"/>
  <c r="N38" i="13"/>
  <c r="N39" i="13"/>
  <c r="N156" i="4"/>
  <c r="N176" i="4" s="1"/>
  <c r="J59" i="7"/>
  <c r="J50" i="7"/>
  <c r="Q31" i="5"/>
  <c r="Q56" i="5" s="1"/>
  <c r="M30" i="9"/>
  <c r="L45" i="13"/>
  <c r="L46" i="13" s="1"/>
  <c r="L22" i="7"/>
  <c r="J14" i="11"/>
  <c r="L21" i="7"/>
  <c r="J13" i="11"/>
  <c r="M6" i="8"/>
  <c r="M5" i="8" s="1"/>
  <c r="K7" i="11" s="1"/>
  <c r="M17" i="7"/>
  <c r="M43" i="13"/>
  <c r="M8" i="8"/>
  <c r="M18" i="7"/>
  <c r="O24" i="13"/>
  <c r="L10" i="9"/>
  <c r="L9" i="9" s="1"/>
  <c r="M10" i="8"/>
  <c r="K9" i="11" s="1"/>
  <c r="L11" i="8"/>
  <c r="J22" i="11" s="1"/>
  <c r="M44" i="13"/>
  <c r="K9" i="9"/>
  <c r="O37" i="13"/>
  <c r="O10" i="13"/>
  <c r="O12" i="13" s="1"/>
  <c r="N11" i="13"/>
  <c r="N13" i="13" s="1"/>
  <c r="L5" i="8"/>
  <c r="J7" i="11" s="1"/>
  <c r="M178" i="4"/>
  <c r="N109" i="4"/>
  <c r="N84" i="4"/>
  <c r="M12" i="9" s="1"/>
  <c r="N44" i="4"/>
  <c r="Q79" i="5" l="1"/>
  <c r="N38" i="7"/>
  <c r="L18" i="11" s="1"/>
  <c r="M14" i="9"/>
  <c r="O11" i="13"/>
  <c r="O13" i="13" s="1"/>
  <c r="L15" i="9"/>
  <c r="N9" i="8"/>
  <c r="M13" i="9"/>
  <c r="I24" i="9"/>
  <c r="O38" i="13"/>
  <c r="O39" i="13"/>
  <c r="O25" i="13"/>
  <c r="O26" i="13"/>
  <c r="J51" i="7"/>
  <c r="N43" i="13"/>
  <c r="M45" i="13"/>
  <c r="M46" i="13" s="1"/>
  <c r="M21" i="7"/>
  <c r="K13" i="11"/>
  <c r="M22" i="7"/>
  <c r="K14" i="11"/>
  <c r="N17" i="7"/>
  <c r="N6" i="8"/>
  <c r="N5" i="8" s="1"/>
  <c r="L7" i="11" s="1"/>
  <c r="N18" i="7"/>
  <c r="N8" i="8"/>
  <c r="M49" i="7"/>
  <c r="M50" i="7" s="1"/>
  <c r="M51" i="7" s="1"/>
  <c r="M54" i="7"/>
  <c r="M59" i="7" s="1"/>
  <c r="L49" i="7"/>
  <c r="L54" i="7"/>
  <c r="N44" i="13"/>
  <c r="P37" i="13"/>
  <c r="P10" i="13"/>
  <c r="P12" i="13" s="1"/>
  <c r="P24" i="13"/>
  <c r="M10" i="9"/>
  <c r="N10" i="8"/>
  <c r="L9" i="11" s="1"/>
  <c r="M11" i="8"/>
  <c r="K22" i="11" s="1"/>
  <c r="N178" i="4"/>
  <c r="O41" i="7" l="1"/>
  <c r="O42" i="7"/>
  <c r="O43" i="7"/>
  <c r="O45" i="7"/>
  <c r="O44" i="7"/>
  <c r="P11" i="13"/>
  <c r="P13" i="13" s="1"/>
  <c r="M15" i="9"/>
  <c r="J24" i="9"/>
  <c r="P39" i="13"/>
  <c r="P38" i="13"/>
  <c r="P25" i="13"/>
  <c r="P26" i="13"/>
  <c r="L59" i="7"/>
  <c r="L50" i="7"/>
  <c r="N21" i="7"/>
  <c r="L13" i="11"/>
  <c r="N22" i="7"/>
  <c r="L14" i="11"/>
  <c r="N49" i="7"/>
  <c r="N50" i="7" s="1"/>
  <c r="N51" i="7" s="1"/>
  <c r="N54" i="7"/>
  <c r="N59" i="7" s="1"/>
  <c r="O43" i="13"/>
  <c r="N45" i="13"/>
  <c r="N46" i="13" s="1"/>
  <c r="M9" i="9"/>
  <c r="O44" i="13"/>
  <c r="N11" i="8"/>
  <c r="L22" i="11" s="1"/>
  <c r="O46" i="7" l="1"/>
  <c r="K24" i="9"/>
  <c r="L51" i="7"/>
  <c r="O45" i="13"/>
  <c r="O46" i="13" s="1"/>
  <c r="P43" i="13"/>
  <c r="P44" i="13"/>
  <c r="L24" i="9" l="1"/>
  <c r="O15" i="8"/>
  <c r="N19" i="9"/>
  <c r="N20" i="11"/>
  <c r="O20" i="11"/>
  <c r="P45" i="13"/>
  <c r="P46" i="13" s="1"/>
  <c r="O190" i="4"/>
  <c r="O186" i="4"/>
  <c r="O189" i="4"/>
  <c r="O191" i="4"/>
  <c r="O187" i="4"/>
  <c r="O183" i="4"/>
  <c r="O185" i="4"/>
  <c r="O188" i="4"/>
  <c r="O184" i="4"/>
  <c r="O174" i="4"/>
  <c r="O170" i="4"/>
  <c r="O166" i="4"/>
  <c r="O162" i="4"/>
  <c r="O158" i="4"/>
  <c r="O175" i="4"/>
  <c r="O171" i="4"/>
  <c r="O167" i="4"/>
  <c r="O163" i="4"/>
  <c r="O159" i="4"/>
  <c r="O172" i="4"/>
  <c r="O169" i="4"/>
  <c r="O161" i="4"/>
  <c r="O164" i="4"/>
  <c r="O173" i="4"/>
  <c r="O165" i="4"/>
  <c r="O157" i="4"/>
  <c r="O168" i="4"/>
  <c r="O160" i="4"/>
  <c r="O104" i="4"/>
  <c r="O108" i="4"/>
  <c r="O105" i="4"/>
  <c r="O106" i="4"/>
  <c r="O103" i="4"/>
  <c r="O107" i="4"/>
  <c r="O81" i="4"/>
  <c r="O77" i="4"/>
  <c r="O82" i="4"/>
  <c r="O78" i="4"/>
  <c r="O74" i="4"/>
  <c r="O83" i="4"/>
  <c r="O79" i="4"/>
  <c r="O75" i="4"/>
  <c r="O80" i="4"/>
  <c r="O76" i="4"/>
  <c r="O41" i="4"/>
  <c r="O37" i="4"/>
  <c r="O42" i="4"/>
  <c r="O38" i="4"/>
  <c r="O34" i="4"/>
  <c r="O43" i="4"/>
  <c r="O39" i="4"/>
  <c r="O35" i="4"/>
  <c r="O40" i="4"/>
  <c r="O36" i="4"/>
  <c r="O182" i="4" l="1"/>
  <c r="M24" i="9"/>
  <c r="O156" i="4"/>
  <c r="P20" i="11"/>
  <c r="R31" i="5"/>
  <c r="R56" i="5" s="1"/>
  <c r="S56" i="5" s="1"/>
  <c r="R8" i="5"/>
  <c r="O13" i="8"/>
  <c r="N17" i="9"/>
  <c r="R25" i="5"/>
  <c r="R18" i="5"/>
  <c r="R19" i="5"/>
  <c r="R23" i="5"/>
  <c r="R24" i="5"/>
  <c r="R20" i="5"/>
  <c r="R21" i="5"/>
  <c r="R22" i="5"/>
  <c r="R40" i="5"/>
  <c r="R65" i="5" s="1"/>
  <c r="S65" i="5" s="1"/>
  <c r="R17" i="5"/>
  <c r="R37" i="5"/>
  <c r="R62" i="5" s="1"/>
  <c r="S62" i="5" s="1"/>
  <c r="R14" i="5"/>
  <c r="R34" i="5"/>
  <c r="R59" i="5" s="1"/>
  <c r="S59" i="5" s="1"/>
  <c r="R11" i="5"/>
  <c r="R38" i="5"/>
  <c r="R63" i="5" s="1"/>
  <c r="S63" i="5" s="1"/>
  <c r="R15" i="5"/>
  <c r="R35" i="5"/>
  <c r="R60" i="5" s="1"/>
  <c r="S60" i="5" s="1"/>
  <c r="R12" i="5"/>
  <c r="R32" i="5"/>
  <c r="R57" i="5" s="1"/>
  <c r="S57" i="5" s="1"/>
  <c r="R9" i="5"/>
  <c r="R39" i="5"/>
  <c r="R64" i="5" s="1"/>
  <c r="S64" i="5" s="1"/>
  <c r="R16" i="5"/>
  <c r="R10" i="5"/>
  <c r="R36" i="5"/>
  <c r="R61" i="5" s="1"/>
  <c r="S61" i="5" s="1"/>
  <c r="R13" i="5"/>
  <c r="O44" i="4"/>
  <c r="O84" i="4" l="1"/>
  <c r="N12" i="9"/>
  <c r="O9" i="8"/>
  <c r="O109" i="4"/>
  <c r="O18" i="7"/>
  <c r="O14" i="11" s="1"/>
  <c r="O8" i="8"/>
  <c r="O17" i="7"/>
  <c r="O13" i="11" s="1"/>
  <c r="N13" i="9"/>
  <c r="N30" i="9"/>
  <c r="R44" i="5"/>
  <c r="R69" i="5" s="1"/>
  <c r="S69" i="5" s="1"/>
  <c r="R47" i="5"/>
  <c r="R72" i="5" s="1"/>
  <c r="S72" i="5" s="1"/>
  <c r="R42" i="5"/>
  <c r="R67" i="5" s="1"/>
  <c r="S67" i="5" s="1"/>
  <c r="R43" i="5"/>
  <c r="R68" i="5" s="1"/>
  <c r="S68" i="5" s="1"/>
  <c r="R46" i="5"/>
  <c r="R71" i="5" s="1"/>
  <c r="S71" i="5" s="1"/>
  <c r="R48" i="5"/>
  <c r="R73" i="5" s="1"/>
  <c r="S73" i="5" s="1"/>
  <c r="R45" i="5"/>
  <c r="R70" i="5" s="1"/>
  <c r="S70" i="5" s="1"/>
  <c r="R41" i="5"/>
  <c r="R66" i="5" s="1"/>
  <c r="S66" i="5" s="1"/>
  <c r="R33" i="5"/>
  <c r="R58" i="5" s="1"/>
  <c r="S58" i="5" s="1"/>
  <c r="N14" i="9" l="1"/>
  <c r="E405" i="3"/>
  <c r="G405" i="3" s="1"/>
  <c r="N9" i="11"/>
  <c r="O176" i="4"/>
  <c r="O38" i="7"/>
  <c r="O18" i="11" s="1"/>
  <c r="N15" i="9"/>
  <c r="Q24" i="13"/>
  <c r="Q26" i="13"/>
  <c r="Q25" i="13"/>
  <c r="Q37" i="13"/>
  <c r="Q38" i="13"/>
  <c r="Q39" i="13"/>
  <c r="Q12" i="13"/>
  <c r="Q10" i="13"/>
  <c r="O21" i="7"/>
  <c r="N13" i="11"/>
  <c r="P13" i="11" s="1"/>
  <c r="O22" i="7"/>
  <c r="N14" i="11"/>
  <c r="P14" i="11" s="1"/>
  <c r="O10" i="8"/>
  <c r="N9" i="9"/>
  <c r="N10" i="9"/>
  <c r="O6" i="8"/>
  <c r="N18" i="11" l="1"/>
  <c r="P18" i="11" s="1"/>
  <c r="O178" i="4"/>
  <c r="Q13" i="13"/>
  <c r="O11" i="8"/>
  <c r="O22" i="11" s="1"/>
  <c r="O9" i="11"/>
  <c r="P9" i="11" s="1"/>
  <c r="N7" i="11"/>
  <c r="O5" i="8"/>
  <c r="O7" i="11" s="1"/>
  <c r="Q44" i="13"/>
  <c r="N22" i="11" l="1"/>
  <c r="P22" i="11" s="1"/>
  <c r="Q11" i="13"/>
  <c r="P7" i="11"/>
  <c r="Q43" i="13"/>
  <c r="O49" i="7"/>
  <c r="O54" i="7"/>
  <c r="O51" i="7" l="1"/>
  <c r="O50" i="7"/>
  <c r="N24" i="9" l="1"/>
  <c r="Q45" i="13"/>
  <c r="Q46" i="13"/>
  <c r="H112" i="5" l="1"/>
  <c r="H134" i="5" s="1"/>
  <c r="I112" i="5"/>
  <c r="I134" i="5" s="1"/>
  <c r="P112" i="5"/>
  <c r="P134" i="5" s="1"/>
  <c r="N112" i="5"/>
  <c r="N134" i="5" s="1"/>
  <c r="J112" i="5"/>
  <c r="J134" i="5" s="1"/>
  <c r="M112" i="5"/>
  <c r="M134" i="5" s="1"/>
  <c r="L112" i="5"/>
  <c r="L134" i="5" s="1"/>
  <c r="K112" i="5"/>
  <c r="K134" i="5" s="1"/>
  <c r="O112" i="5"/>
  <c r="O134" i="5" s="1"/>
  <c r="Q112" i="5"/>
  <c r="Q134" i="5" s="1"/>
  <c r="H118" i="5"/>
  <c r="H140" i="5" s="1"/>
  <c r="Q118" i="5"/>
  <c r="Q140" i="5" s="1"/>
  <c r="K118" i="5"/>
  <c r="K140" i="5" s="1"/>
  <c r="O118" i="5"/>
  <c r="O140" i="5" s="1"/>
  <c r="J118" i="5"/>
  <c r="J140" i="5" s="1"/>
  <c r="I118" i="5"/>
  <c r="I140" i="5" s="1"/>
  <c r="M118" i="5"/>
  <c r="M140" i="5" s="1"/>
  <c r="P118" i="5"/>
  <c r="P140" i="5" s="1"/>
  <c r="L118" i="5"/>
  <c r="L140" i="5" s="1"/>
  <c r="N118" i="5"/>
  <c r="N140" i="5" s="1"/>
  <c r="H103" i="5"/>
  <c r="H125" i="5" s="1"/>
  <c r="J103" i="5"/>
  <c r="J125" i="5" s="1"/>
  <c r="N103" i="5"/>
  <c r="N125" i="5" s="1"/>
  <c r="M103" i="5"/>
  <c r="M125" i="5" s="1"/>
  <c r="O103" i="5"/>
  <c r="O125" i="5" s="1"/>
  <c r="I103" i="5"/>
  <c r="I125" i="5" s="1"/>
  <c r="L103" i="5"/>
  <c r="L125" i="5" s="1"/>
  <c r="P103" i="5"/>
  <c r="P125" i="5" s="1"/>
  <c r="Q103" i="5"/>
  <c r="Q125" i="5" s="1"/>
  <c r="K103" i="5"/>
  <c r="K125" i="5" s="1"/>
  <c r="H108" i="5"/>
  <c r="H130" i="5" s="1"/>
  <c r="O108" i="5"/>
  <c r="O130" i="5" s="1"/>
  <c r="J108" i="5"/>
  <c r="J130" i="5" s="1"/>
  <c r="K108" i="5"/>
  <c r="K130" i="5" s="1"/>
  <c r="L108" i="5"/>
  <c r="L130" i="5" s="1"/>
  <c r="P108" i="5"/>
  <c r="P130" i="5" s="1"/>
  <c r="M108" i="5"/>
  <c r="M130" i="5" s="1"/>
  <c r="N108" i="5"/>
  <c r="N130" i="5" s="1"/>
  <c r="I108" i="5"/>
  <c r="I130" i="5" s="1"/>
  <c r="Q108" i="5"/>
  <c r="Q130" i="5" s="1"/>
  <c r="H117" i="5"/>
  <c r="H139" i="5" s="1"/>
  <c r="K117" i="5"/>
  <c r="K139" i="5" s="1"/>
  <c r="L117" i="5"/>
  <c r="L139" i="5" s="1"/>
  <c r="J117" i="5"/>
  <c r="J139" i="5" s="1"/>
  <c r="Q117" i="5"/>
  <c r="Q139" i="5" s="1"/>
  <c r="I117" i="5"/>
  <c r="I139" i="5" s="1"/>
  <c r="O117" i="5"/>
  <c r="O139" i="5" s="1"/>
  <c r="P117" i="5"/>
  <c r="P139" i="5" s="1"/>
  <c r="M117" i="5"/>
  <c r="M139" i="5" s="1"/>
  <c r="N117" i="5"/>
  <c r="N139" i="5" s="1"/>
  <c r="H106" i="5"/>
  <c r="L106" i="5"/>
  <c r="L128" i="5" s="1"/>
  <c r="Q106" i="5"/>
  <c r="Q128" i="5" s="1"/>
  <c r="M106" i="5"/>
  <c r="M128" i="5" s="1"/>
  <c r="K106" i="5"/>
  <c r="K128" i="5" s="1"/>
  <c r="J106" i="5"/>
  <c r="J128" i="5" s="1"/>
  <c r="I106" i="5"/>
  <c r="I128" i="5" s="1"/>
  <c r="P106" i="5"/>
  <c r="P128" i="5" s="1"/>
  <c r="N106" i="5"/>
  <c r="N128" i="5" s="1"/>
  <c r="O106" i="5"/>
  <c r="O128" i="5" s="1"/>
  <c r="H114" i="5"/>
  <c r="H136" i="5" s="1"/>
  <c r="K114" i="5"/>
  <c r="K136" i="5" s="1"/>
  <c r="O114" i="5"/>
  <c r="O136" i="5" s="1"/>
  <c r="J114" i="5"/>
  <c r="J136" i="5" s="1"/>
  <c r="N114" i="5"/>
  <c r="N136" i="5" s="1"/>
  <c r="I114" i="5"/>
  <c r="I136" i="5" s="1"/>
  <c r="Q114" i="5"/>
  <c r="Q136" i="5" s="1"/>
  <c r="P114" i="5"/>
  <c r="P136" i="5" s="1"/>
  <c r="L114" i="5"/>
  <c r="L136" i="5" s="1"/>
  <c r="M114" i="5"/>
  <c r="M136" i="5" s="1"/>
  <c r="H104" i="5"/>
  <c r="H126" i="5" s="1"/>
  <c r="K104" i="5"/>
  <c r="K126" i="5" s="1"/>
  <c r="I104" i="5"/>
  <c r="I126" i="5" s="1"/>
  <c r="N104" i="5"/>
  <c r="N126" i="5" s="1"/>
  <c r="L104" i="5"/>
  <c r="L126" i="5" s="1"/>
  <c r="M104" i="5"/>
  <c r="M126" i="5" s="1"/>
  <c r="O104" i="5"/>
  <c r="O126" i="5" s="1"/>
  <c r="J104" i="5"/>
  <c r="J126" i="5" s="1"/>
  <c r="H113" i="5"/>
  <c r="H135" i="5" s="1"/>
  <c r="J113" i="5"/>
  <c r="J135" i="5" s="1"/>
  <c r="L113" i="5"/>
  <c r="L135" i="5" s="1"/>
  <c r="P113" i="5"/>
  <c r="P135" i="5" s="1"/>
  <c r="K113" i="5"/>
  <c r="K135" i="5" s="1"/>
  <c r="O113" i="5"/>
  <c r="O135" i="5" s="1"/>
  <c r="M113" i="5"/>
  <c r="M135" i="5" s="1"/>
  <c r="Q113" i="5"/>
  <c r="Q135" i="5" s="1"/>
  <c r="N113" i="5"/>
  <c r="N135" i="5" s="1"/>
  <c r="I113" i="5"/>
  <c r="I135" i="5" s="1"/>
  <c r="H119" i="5"/>
  <c r="H141" i="5" s="1"/>
  <c r="J119" i="5"/>
  <c r="J141" i="5" s="1"/>
  <c r="K119" i="5"/>
  <c r="K141" i="5" s="1"/>
  <c r="N119" i="5"/>
  <c r="N141" i="5" s="1"/>
  <c r="I119" i="5"/>
  <c r="I141" i="5" s="1"/>
  <c r="Q119" i="5"/>
  <c r="Q141" i="5" s="1"/>
  <c r="L119" i="5"/>
  <c r="L141" i="5" s="1"/>
  <c r="P119" i="5"/>
  <c r="P141" i="5" s="1"/>
  <c r="O119" i="5"/>
  <c r="O141" i="5" s="1"/>
  <c r="M119" i="5"/>
  <c r="M141" i="5" s="1"/>
  <c r="H110" i="5"/>
  <c r="H132" i="5" s="1"/>
  <c r="Q110" i="5"/>
  <c r="Q132" i="5" s="1"/>
  <c r="I110" i="5"/>
  <c r="I132" i="5" s="1"/>
  <c r="M110" i="5"/>
  <c r="M132" i="5" s="1"/>
  <c r="O110" i="5"/>
  <c r="O132" i="5" s="1"/>
  <c r="K110" i="5"/>
  <c r="K132" i="5" s="1"/>
  <c r="J110" i="5"/>
  <c r="J132" i="5" s="1"/>
  <c r="L110" i="5"/>
  <c r="L132" i="5" s="1"/>
  <c r="N110" i="5"/>
  <c r="N132" i="5" s="1"/>
  <c r="P110" i="5"/>
  <c r="P132" i="5" s="1"/>
  <c r="H116" i="5"/>
  <c r="H138" i="5" s="1"/>
  <c r="K116" i="5"/>
  <c r="K138" i="5" s="1"/>
  <c r="N116" i="5"/>
  <c r="N138" i="5" s="1"/>
  <c r="J116" i="5"/>
  <c r="J138" i="5" s="1"/>
  <c r="Q116" i="5"/>
  <c r="Q138" i="5" s="1"/>
  <c r="I116" i="5"/>
  <c r="I138" i="5" s="1"/>
  <c r="P116" i="5"/>
  <c r="P138" i="5" s="1"/>
  <c r="M116" i="5"/>
  <c r="M138" i="5" s="1"/>
  <c r="L116" i="5"/>
  <c r="L138" i="5" s="1"/>
  <c r="O116" i="5"/>
  <c r="O138" i="5" s="1"/>
  <c r="H111" i="5"/>
  <c r="H133" i="5" s="1"/>
  <c r="N111" i="5"/>
  <c r="N133" i="5" s="1"/>
  <c r="L111" i="5"/>
  <c r="L133" i="5" s="1"/>
  <c r="P111" i="5"/>
  <c r="P133" i="5" s="1"/>
  <c r="K111" i="5"/>
  <c r="K133" i="5" s="1"/>
  <c r="O111" i="5"/>
  <c r="O133" i="5" s="1"/>
  <c r="Q111" i="5"/>
  <c r="Q133" i="5" s="1"/>
  <c r="J111" i="5"/>
  <c r="J133" i="5" s="1"/>
  <c r="I111" i="5"/>
  <c r="I133" i="5" s="1"/>
  <c r="M111" i="5"/>
  <c r="M133" i="5" s="1"/>
  <c r="H109" i="5"/>
  <c r="H131" i="5" s="1"/>
  <c r="K109" i="5"/>
  <c r="K131" i="5" s="1"/>
  <c r="O109" i="5"/>
  <c r="O131" i="5" s="1"/>
  <c r="I109" i="5"/>
  <c r="I131" i="5" s="1"/>
  <c r="N109" i="5"/>
  <c r="N131" i="5" s="1"/>
  <c r="J109" i="5"/>
  <c r="J131" i="5" s="1"/>
  <c r="M109" i="5"/>
  <c r="M131" i="5" s="1"/>
  <c r="L109" i="5"/>
  <c r="L131" i="5" s="1"/>
  <c r="P109" i="5"/>
  <c r="P131" i="5" s="1"/>
  <c r="Q109" i="5"/>
  <c r="Q131" i="5" s="1"/>
  <c r="H107" i="5"/>
  <c r="H129" i="5" s="1"/>
  <c r="K107" i="5"/>
  <c r="K129" i="5" s="1"/>
  <c r="N107" i="5"/>
  <c r="N129" i="5" s="1"/>
  <c r="J107" i="5"/>
  <c r="J129" i="5" s="1"/>
  <c r="O107" i="5"/>
  <c r="O129" i="5" s="1"/>
  <c r="P107" i="5"/>
  <c r="P129" i="5" s="1"/>
  <c r="M107" i="5"/>
  <c r="M129" i="5" s="1"/>
  <c r="I107" i="5"/>
  <c r="I129" i="5" s="1"/>
  <c r="L107" i="5"/>
  <c r="L129" i="5" s="1"/>
  <c r="Q107" i="5"/>
  <c r="Q129" i="5" s="1"/>
  <c r="H115" i="5"/>
  <c r="H137" i="5" s="1"/>
  <c r="L115" i="5"/>
  <c r="L137" i="5" s="1"/>
  <c r="K115" i="5"/>
  <c r="K137" i="5" s="1"/>
  <c r="J115" i="5"/>
  <c r="J137" i="5" s="1"/>
  <c r="I115" i="5"/>
  <c r="I137" i="5" s="1"/>
  <c r="N115" i="5"/>
  <c r="N137" i="5" s="1"/>
  <c r="Q115" i="5"/>
  <c r="Q137" i="5" s="1"/>
  <c r="M115" i="5"/>
  <c r="M137" i="5" s="1"/>
  <c r="P115" i="5"/>
  <c r="P137" i="5" s="1"/>
  <c r="O115" i="5"/>
  <c r="O137" i="5" s="1"/>
  <c r="P104" i="5" l="1"/>
  <c r="P126" i="5" s="1"/>
  <c r="H128" i="5"/>
  <c r="H68" i="3"/>
  <c r="D4" i="11"/>
  <c r="F204" i="4"/>
  <c r="F230" i="4"/>
  <c r="F232" i="4" s="1" a="1"/>
  <c r="F232" i="4" s="1"/>
  <c r="F217" i="4"/>
  <c r="Q104" i="5" l="1"/>
  <c r="Q126" i="5" s="1"/>
  <c r="F205" i="4" a="1"/>
  <c r="F205" i="4" s="1"/>
  <c r="F206" i="4" s="1" a="1"/>
  <c r="F206" i="4" s="1"/>
  <c r="F218" i="4" a="1"/>
  <c r="F218" i="4" s="1"/>
  <c r="F219" i="4" s="1" a="1"/>
  <c r="F219" i="4" s="1"/>
  <c r="H94" i="3"/>
  <c r="H115" i="3"/>
  <c r="G230" i="4"/>
  <c r="G217" i="4"/>
  <c r="G204" i="4"/>
  <c r="I68" i="3"/>
  <c r="E4" i="11"/>
  <c r="D10" i="11"/>
  <c r="H144" i="3" l="1"/>
  <c r="H263" i="3" s="1"/>
  <c r="H300" i="3" s="1"/>
  <c r="H352" i="3" s="1"/>
  <c r="H374" i="3" s="1"/>
  <c r="G218" i="4" a="1"/>
  <c r="G218" i="4" s="1"/>
  <c r="G219" i="4" s="1" a="1"/>
  <c r="G219" i="4" s="1"/>
  <c r="G231" i="4" a="1"/>
  <c r="G231" i="4" s="1"/>
  <c r="G232" i="4" s="1" a="1"/>
  <c r="G232" i="4" s="1"/>
  <c r="G205" i="4" a="1"/>
  <c r="G205" i="4" s="1"/>
  <c r="G206" i="4" s="1" a="1"/>
  <c r="G206" i="4" s="1"/>
  <c r="D37" i="11"/>
  <c r="E16" i="9"/>
  <c r="D38" i="11"/>
  <c r="D39" i="11"/>
  <c r="E10" i="11"/>
  <c r="F12" i="8"/>
  <c r="I94" i="3"/>
  <c r="I115" i="3"/>
  <c r="I144" i="3" s="1"/>
  <c r="I263" i="3" s="1"/>
  <c r="I300" i="3" s="1"/>
  <c r="F4" i="11"/>
  <c r="J68" i="3"/>
  <c r="H204" i="4"/>
  <c r="H230" i="4"/>
  <c r="H217" i="4"/>
  <c r="H218" i="4" s="1" a="1"/>
  <c r="H218" i="4" s="1"/>
  <c r="H219" i="4" s="1" a="1"/>
  <c r="H219" i="4" s="1"/>
  <c r="H231" i="4" l="1" a="1"/>
  <c r="H231" i="4" s="1"/>
  <c r="H232" i="4" s="1" a="1"/>
  <c r="H232" i="4" s="1"/>
  <c r="H205" i="4" a="1"/>
  <c r="H205" i="4" s="1"/>
  <c r="H206" i="4" s="1" a="1"/>
  <c r="H206" i="4" s="1"/>
  <c r="E37" i="11"/>
  <c r="E39" i="11"/>
  <c r="F16" i="9"/>
  <c r="D36" i="11"/>
  <c r="D70" i="11" s="1"/>
  <c r="I352" i="3"/>
  <c r="I374" i="3" s="1"/>
  <c r="F37" i="11"/>
  <c r="G12" i="8"/>
  <c r="E38" i="11"/>
  <c r="F10" i="11"/>
  <c r="J115" i="3"/>
  <c r="J144" i="3" s="1"/>
  <c r="J263" i="3" s="1"/>
  <c r="J300" i="3" s="1"/>
  <c r="J94" i="3"/>
  <c r="I230" i="4"/>
  <c r="I217" i="4"/>
  <c r="I218" i="4" s="1" a="1"/>
  <c r="I218" i="4" s="1"/>
  <c r="I219" i="4" s="1" a="1"/>
  <c r="I219" i="4" s="1"/>
  <c r="I204" i="4"/>
  <c r="I205" i="4" s="1" a="1"/>
  <c r="I205" i="4" s="1"/>
  <c r="I206" i="4" s="1" a="1"/>
  <c r="I206" i="4" s="1"/>
  <c r="G4" i="11"/>
  <c r="K68" i="3"/>
  <c r="I231" i="4" l="1" a="1"/>
  <c r="I231" i="4" s="1"/>
  <c r="I232" i="4" s="1" a="1"/>
  <c r="I232" i="4" s="1"/>
  <c r="F39" i="11"/>
  <c r="G16" i="9"/>
  <c r="J352" i="3"/>
  <c r="J374" i="3" s="1"/>
  <c r="E36" i="11"/>
  <c r="E70" i="11" s="1"/>
  <c r="H12" i="8"/>
  <c r="F38" i="11"/>
  <c r="G10" i="11"/>
  <c r="J217" i="4"/>
  <c r="J218" i="4" s="1" a="1"/>
  <c r="J218" i="4" s="1"/>
  <c r="J219" i="4" s="1" a="1"/>
  <c r="J219" i="4" s="1"/>
  <c r="J230" i="4"/>
  <c r="J231" i="4" s="1" a="1"/>
  <c r="J231" i="4" s="1"/>
  <c r="J232" i="4" s="1" a="1"/>
  <c r="J232" i="4" s="1"/>
  <c r="J204" i="4"/>
  <c r="J205" i="4" s="1" a="1"/>
  <c r="J205" i="4" s="1"/>
  <c r="J206" i="4" s="1" a="1"/>
  <c r="J206" i="4" s="1"/>
  <c r="K115" i="3"/>
  <c r="K144" i="3" s="1"/>
  <c r="K263" i="3" s="1"/>
  <c r="K300" i="3" s="1"/>
  <c r="K94" i="3"/>
  <c r="H4" i="11"/>
  <c r="L68" i="3"/>
  <c r="G37" i="11" l="1"/>
  <c r="F36" i="11"/>
  <c r="F70" i="11" s="1"/>
  <c r="G39" i="11"/>
  <c r="H16" i="9"/>
  <c r="K352" i="3"/>
  <c r="K374" i="3" s="1"/>
  <c r="H10" i="11"/>
  <c r="H37" i="11"/>
  <c r="G38" i="11"/>
  <c r="I12" i="8"/>
  <c r="I4" i="11"/>
  <c r="M68" i="3"/>
  <c r="L22" i="6"/>
  <c r="K230" i="4"/>
  <c r="K231" i="4" s="1" a="1"/>
  <c r="K231" i="4" s="1"/>
  <c r="K232" i="4" s="1" a="1"/>
  <c r="K232" i="4" s="1"/>
  <c r="K204" i="4"/>
  <c r="K205" i="4" s="1" a="1"/>
  <c r="K205" i="4" s="1"/>
  <c r="K206" i="4" s="1" a="1"/>
  <c r="K206" i="4" s="1"/>
  <c r="K217" i="4"/>
  <c r="K218" i="4" s="1" a="1"/>
  <c r="K218" i="4" s="1"/>
  <c r="K219" i="4" s="1" a="1"/>
  <c r="K219" i="4" s="1"/>
  <c r="L115" i="3"/>
  <c r="L94" i="3"/>
  <c r="L144" i="3" l="1"/>
  <c r="L263" i="3" s="1"/>
  <c r="L300" i="3" s="1"/>
  <c r="L352" i="3" s="1"/>
  <c r="L374" i="3" s="1"/>
  <c r="E409" i="3"/>
  <c r="G409" i="3" s="1"/>
  <c r="G36" i="11"/>
  <c r="G70" i="11" s="1"/>
  <c r="H39" i="11"/>
  <c r="I16" i="9"/>
  <c r="K42" i="6"/>
  <c r="I10" i="11"/>
  <c r="H38" i="11"/>
  <c r="J12" i="8"/>
  <c r="M22" i="6"/>
  <c r="M94" i="3"/>
  <c r="M115" i="3"/>
  <c r="I38" i="11"/>
  <c r="L204" i="4"/>
  <c r="L205" i="4" s="1" a="1"/>
  <c r="L205" i="4" s="1"/>
  <c r="L206" i="4" s="1" a="1"/>
  <c r="L206" i="4" s="1"/>
  <c r="L230" i="4"/>
  <c r="L231" i="4" s="1" a="1"/>
  <c r="L231" i="4" s="1"/>
  <c r="L232" i="4" s="1" a="1"/>
  <c r="L232" i="4" s="1"/>
  <c r="L217" i="4"/>
  <c r="L218" i="4" s="1" a="1"/>
  <c r="L218" i="4" s="1"/>
  <c r="L219" i="4" s="1" a="1"/>
  <c r="L219" i="4" s="1"/>
  <c r="J4" i="11"/>
  <c r="N68" i="3"/>
  <c r="M144" i="3" l="1"/>
  <c r="M263" i="3" s="1"/>
  <c r="M300" i="3" s="1"/>
  <c r="I37" i="11"/>
  <c r="J39" i="11"/>
  <c r="H36" i="11"/>
  <c r="H70" i="11" s="1"/>
  <c r="I39" i="11"/>
  <c r="J16" i="9"/>
  <c r="M352" i="3"/>
  <c r="M374" i="3" s="1"/>
  <c r="L24" i="6"/>
  <c r="J37" i="11"/>
  <c r="K12" i="8"/>
  <c r="J10" i="11"/>
  <c r="M204" i="4"/>
  <c r="M205" i="4" s="1" a="1"/>
  <c r="M205" i="4" s="1"/>
  <c r="M206" i="4" s="1" a="1"/>
  <c r="M206" i="4" s="1"/>
  <c r="M230" i="4"/>
  <c r="M231" i="4" s="1" a="1"/>
  <c r="M231" i="4" s="1"/>
  <c r="M232" i="4" s="1" a="1"/>
  <c r="M232" i="4" s="1"/>
  <c r="M217" i="4"/>
  <c r="M218" i="4" s="1" a="1"/>
  <c r="M218" i="4" s="1"/>
  <c r="M219" i="4" s="1" a="1"/>
  <c r="M219" i="4" s="1"/>
  <c r="K4" i="11"/>
  <c r="O68" i="3"/>
  <c r="N94" i="3"/>
  <c r="N115" i="3"/>
  <c r="N144" i="3" s="1"/>
  <c r="N263" i="3" s="1"/>
  <c r="N300" i="3" s="1"/>
  <c r="N22" i="6"/>
  <c r="I36" i="11" l="1"/>
  <c r="I70" i="11" s="1"/>
  <c r="J38" i="11"/>
  <c r="J36" i="11" s="1"/>
  <c r="J70" i="11" s="1"/>
  <c r="K37" i="11"/>
  <c r="K16" i="9"/>
  <c r="N352" i="3"/>
  <c r="N374" i="3" s="1"/>
  <c r="L12" i="8"/>
  <c r="M24" i="6"/>
  <c r="K10" i="11"/>
  <c r="O22" i="6"/>
  <c r="O94" i="3"/>
  <c r="O115" i="3"/>
  <c r="O144" i="3" s="1"/>
  <c r="O263" i="3" s="1"/>
  <c r="O300" i="3" s="1"/>
  <c r="L4" i="11"/>
  <c r="P68" i="3"/>
  <c r="N204" i="4"/>
  <c r="N205" i="4" s="1" a="1"/>
  <c r="N205" i="4" s="1"/>
  <c r="N206" i="4" s="1" a="1"/>
  <c r="N206" i="4" s="1"/>
  <c r="N230" i="4"/>
  <c r="N231" i="4" s="1" a="1"/>
  <c r="N231" i="4" s="1"/>
  <c r="N232" i="4" s="1" a="1"/>
  <c r="N232" i="4" s="1"/>
  <c r="N217" i="4"/>
  <c r="N218" i="4" s="1" a="1"/>
  <c r="N218" i="4" s="1"/>
  <c r="N219" i="4" s="1" a="1"/>
  <c r="N219" i="4" s="1"/>
  <c r="L16" i="9" l="1"/>
  <c r="K38" i="11"/>
  <c r="K39" i="11"/>
  <c r="O352" i="3"/>
  <c r="O374" i="3" s="1"/>
  <c r="M12" i="8"/>
  <c r="L10" i="11"/>
  <c r="P94" i="3"/>
  <c r="P115" i="3"/>
  <c r="P144" i="3" s="1"/>
  <c r="P263" i="3" s="1"/>
  <c r="P300" i="3" s="1"/>
  <c r="L37" i="11" l="1"/>
  <c r="L38" i="11"/>
  <c r="L39" i="11"/>
  <c r="M16" i="9"/>
  <c r="K36" i="11"/>
  <c r="K70" i="11" s="1"/>
  <c r="N12" i="8"/>
  <c r="P352" i="3"/>
  <c r="P374" i="3" s="1"/>
  <c r="L36" i="11" l="1"/>
  <c r="L70" i="11" s="1"/>
  <c r="N24" i="6"/>
  <c r="O24" i="6" l="1"/>
  <c r="O42" i="6" l="1"/>
  <c r="M41" i="9" s="1"/>
  <c r="M40" i="9" s="1"/>
  <c r="M42" i="9" s="1"/>
  <c r="N42" i="6"/>
  <c r="L41" i="9" s="1"/>
  <c r="L40" i="9" s="1"/>
  <c r="L42" i="9" s="1"/>
  <c r="M42" i="6"/>
  <c r="K41" i="9" s="1"/>
  <c r="K40" i="9" s="1"/>
  <c r="K42" i="9" s="1"/>
  <c r="L42" i="6"/>
  <c r="J41" i="9" s="1"/>
  <c r="J40" i="9" s="1"/>
  <c r="J42" i="9" s="1"/>
  <c r="C4" i="11"/>
  <c r="G68" i="3"/>
  <c r="G94" i="3" s="1"/>
  <c r="G115" i="3" l="1"/>
  <c r="E230" i="4"/>
  <c r="E232" i="4" s="1" a="1"/>
  <c r="E232" i="4" s="1"/>
  <c r="E204" i="4"/>
  <c r="E217" i="4"/>
  <c r="G144" i="3" l="1"/>
  <c r="G263" i="3" s="1"/>
  <c r="G300" i="3" s="1"/>
  <c r="E205" i="4" a="1"/>
  <c r="E205" i="4" s="1"/>
  <c r="E206" i="4" s="1" a="1"/>
  <c r="E206" i="4" s="1"/>
  <c r="E218" i="4" a="1"/>
  <c r="E218" i="4" s="1"/>
  <c r="E219" i="4" s="1" a="1"/>
  <c r="E219" i="4" s="1"/>
  <c r="G319" i="3"/>
  <c r="O10" i="11"/>
  <c r="C10" i="11"/>
  <c r="N10" i="11" s="1"/>
  <c r="F42" i="6"/>
  <c r="F43" i="6"/>
  <c r="G39" i="6" s="1"/>
  <c r="G40" i="6" s="1"/>
  <c r="G42" i="6" s="1"/>
  <c r="D31" i="9"/>
  <c r="F24" i="6"/>
  <c r="F25" i="6" s="1"/>
  <c r="G21" i="6" s="1"/>
  <c r="G22" i="6" s="1"/>
  <c r="H26" i="5" l="1"/>
  <c r="G352" i="3"/>
  <c r="G374" i="3" s="1"/>
  <c r="D16" i="9"/>
  <c r="O37" i="11"/>
  <c r="C37" i="11"/>
  <c r="N37" i="11" s="1"/>
  <c r="O38" i="11"/>
  <c r="C38" i="11"/>
  <c r="N38" i="11" s="1"/>
  <c r="O39" i="11"/>
  <c r="C39" i="11"/>
  <c r="D41" i="9"/>
  <c r="G23" i="6"/>
  <c r="D8" i="10"/>
  <c r="E12" i="8"/>
  <c r="G41" i="6"/>
  <c r="G43" i="6"/>
  <c r="H39" i="6" s="1"/>
  <c r="P10" i="11"/>
  <c r="G320" i="3" l="1"/>
  <c r="G46" i="6"/>
  <c r="G47" i="6"/>
  <c r="G28" i="6"/>
  <c r="G29" i="6"/>
  <c r="H27" i="5"/>
  <c r="D32" i="9" s="1"/>
  <c r="D29" i="9" s="1"/>
  <c r="D33" i="9" s="1"/>
  <c r="D11" i="9"/>
  <c r="D25" i="9" s="1"/>
  <c r="G24" i="6"/>
  <c r="H40" i="6"/>
  <c r="H49" i="5"/>
  <c r="O36" i="11"/>
  <c r="P38" i="11"/>
  <c r="P37" i="11"/>
  <c r="N39" i="11"/>
  <c r="P39" i="11" s="1"/>
  <c r="C36" i="11"/>
  <c r="C70" i="11" s="1"/>
  <c r="O12" i="8"/>
  <c r="H41" i="6"/>
  <c r="F19" i="8"/>
  <c r="N16" i="9"/>
  <c r="D40" i="9"/>
  <c r="G321" i="3" l="1"/>
  <c r="E19" i="7"/>
  <c r="H74" i="5"/>
  <c r="H97" i="5" s="1"/>
  <c r="E31" i="9"/>
  <c r="H46" i="6"/>
  <c r="H47" i="6"/>
  <c r="H28" i="5"/>
  <c r="H50" i="5"/>
  <c r="H319" i="3"/>
  <c r="I26" i="5" s="1"/>
  <c r="E41" i="9"/>
  <c r="E40" i="9" s="1"/>
  <c r="E42" i="9" s="1"/>
  <c r="G25" i="6"/>
  <c r="H21" i="6" s="1"/>
  <c r="H42" i="6"/>
  <c r="H43" i="6" s="1"/>
  <c r="I39" i="6" s="1"/>
  <c r="N36" i="11"/>
  <c r="P36" i="11" s="1"/>
  <c r="E22" i="9"/>
  <c r="D42" i="9"/>
  <c r="D7" i="10"/>
  <c r="E23" i="7" l="1"/>
  <c r="H51" i="5"/>
  <c r="H75" i="5"/>
  <c r="H98" i="5" s="1"/>
  <c r="H23" i="6"/>
  <c r="H22" i="6"/>
  <c r="I49" i="5"/>
  <c r="I40" i="6"/>
  <c r="I41" i="6"/>
  <c r="E24" i="7"/>
  <c r="D44" i="9"/>
  <c r="D46" i="9" s="1"/>
  <c r="E45" i="9" s="1"/>
  <c r="E47" i="9" s="1"/>
  <c r="D6" i="10"/>
  <c r="E8" i="10"/>
  <c r="J40" i="6" l="1"/>
  <c r="I74" i="5"/>
  <c r="I97" i="5" s="1"/>
  <c r="I46" i="6"/>
  <c r="I47" i="6"/>
  <c r="H28" i="6"/>
  <c r="H29" i="6"/>
  <c r="F22" i="9" s="1"/>
  <c r="F8" i="10" s="1"/>
  <c r="G19" i="8"/>
  <c r="H24" i="6"/>
  <c r="I42" i="6"/>
  <c r="D9" i="10"/>
  <c r="C21" i="11"/>
  <c r="C15" i="11"/>
  <c r="E23" i="9"/>
  <c r="P40" i="6" l="1"/>
  <c r="F31" i="9"/>
  <c r="I319" i="3"/>
  <c r="J26" i="5" s="1"/>
  <c r="I43" i="6"/>
  <c r="J39" i="6" s="1"/>
  <c r="J43" i="6" s="1"/>
  <c r="K39" i="6" s="1"/>
  <c r="H25" i="6"/>
  <c r="I21" i="6" s="1"/>
  <c r="F41" i="9"/>
  <c r="F40" i="9" s="1"/>
  <c r="F42" i="9" s="1"/>
  <c r="D19" i="10"/>
  <c r="D20" i="10" l="1"/>
  <c r="J41" i="6"/>
  <c r="J42" i="6" s="1"/>
  <c r="P42" i="6" s="1"/>
  <c r="I23" i="6"/>
  <c r="H19" i="8" s="1"/>
  <c r="I22" i="6"/>
  <c r="I24" i="6" s="1"/>
  <c r="K43" i="6"/>
  <c r="L39" i="6" s="1"/>
  <c r="K41" i="6"/>
  <c r="D24" i="10"/>
  <c r="D25" i="10" l="1"/>
  <c r="K46" i="6"/>
  <c r="K47" i="6"/>
  <c r="J46" i="6"/>
  <c r="J47" i="6"/>
  <c r="I28" i="6"/>
  <c r="I29" i="6"/>
  <c r="G22" i="9" s="1"/>
  <c r="G8" i="10" s="1"/>
  <c r="J22" i="6"/>
  <c r="J49" i="5"/>
  <c r="I25" i="6"/>
  <c r="J21" i="6" s="1"/>
  <c r="G41" i="9"/>
  <c r="G40" i="9" s="1"/>
  <c r="G42" i="9" s="1"/>
  <c r="L41" i="6"/>
  <c r="L43" i="6"/>
  <c r="M39" i="6" s="1"/>
  <c r="D22" i="10"/>
  <c r="J74" i="5" l="1"/>
  <c r="J97" i="5" s="1"/>
  <c r="K22" i="6"/>
  <c r="L46" i="6"/>
  <c r="L47" i="6"/>
  <c r="G31" i="9"/>
  <c r="J319" i="3"/>
  <c r="K26" i="5" s="1"/>
  <c r="J23" i="6"/>
  <c r="M41" i="6"/>
  <c r="M43" i="6"/>
  <c r="N39" i="6" s="1"/>
  <c r="D26" i="10"/>
  <c r="P22" i="6" l="1"/>
  <c r="M47" i="6"/>
  <c r="M46" i="6"/>
  <c r="J28" i="6"/>
  <c r="J29" i="6"/>
  <c r="H22" i="9" s="1"/>
  <c r="H8" i="10" s="1"/>
  <c r="J24" i="6"/>
  <c r="J25" i="6" s="1"/>
  <c r="K21" i="6" s="1"/>
  <c r="K23" i="6" s="1"/>
  <c r="K24" i="6" s="1"/>
  <c r="I41" i="9" s="1"/>
  <c r="I40" i="9" s="1"/>
  <c r="I19" i="8"/>
  <c r="N41" i="6"/>
  <c r="N43" i="6"/>
  <c r="O39" i="6" s="1"/>
  <c r="N46" i="6" l="1"/>
  <c r="N47" i="6"/>
  <c r="K28" i="6"/>
  <c r="K29" i="6"/>
  <c r="I22" i="9" s="1"/>
  <c r="I8" i="10" s="1"/>
  <c r="H31" i="9"/>
  <c r="K319" i="3"/>
  <c r="L26" i="5" s="1"/>
  <c r="K49" i="5"/>
  <c r="K25" i="6"/>
  <c r="L21" i="6" s="1"/>
  <c r="L25" i="6" s="1"/>
  <c r="M21" i="6" s="1"/>
  <c r="J19" i="8"/>
  <c r="H41" i="9"/>
  <c r="P24" i="6"/>
  <c r="I42" i="9"/>
  <c r="O41" i="6"/>
  <c r="O43" i="6"/>
  <c r="K74" i="5" l="1"/>
  <c r="K97" i="5" s="1"/>
  <c r="O46" i="6"/>
  <c r="O47" i="6"/>
  <c r="L23" i="6"/>
  <c r="L29" i="6" s="1"/>
  <c r="J22" i="9" s="1"/>
  <c r="J8" i="10" s="1"/>
  <c r="I31" i="9"/>
  <c r="L319" i="3"/>
  <c r="M26" i="5" s="1"/>
  <c r="M25" i="6"/>
  <c r="N21" i="6" s="1"/>
  <c r="M23" i="6"/>
  <c r="H40" i="9"/>
  <c r="N41" i="9"/>
  <c r="K19" i="8" l="1"/>
  <c r="L28" i="6"/>
  <c r="J31" i="9" s="1"/>
  <c r="M29" i="6"/>
  <c r="K22" i="9" s="1"/>
  <c r="K8" i="10" s="1"/>
  <c r="M28" i="6"/>
  <c r="L49" i="5"/>
  <c r="L74" i="5" s="1"/>
  <c r="L97" i="5" s="1"/>
  <c r="H42" i="9"/>
  <c r="N42" i="9" s="1"/>
  <c r="N40" i="9"/>
  <c r="L19" i="8"/>
  <c r="N23" i="6"/>
  <c r="N25" i="6"/>
  <c r="O21" i="6" s="1"/>
  <c r="M319" i="3" l="1"/>
  <c r="N26" i="5" s="1"/>
  <c r="K31" i="9"/>
  <c r="N319" i="3"/>
  <c r="O26" i="5" s="1"/>
  <c r="N28" i="6"/>
  <c r="N29" i="6"/>
  <c r="M49" i="5"/>
  <c r="M74" i="5" s="1"/>
  <c r="M97" i="5" s="1"/>
  <c r="O25" i="6"/>
  <c r="O23" i="6"/>
  <c r="M19" i="8"/>
  <c r="N49" i="5" l="1"/>
  <c r="N74" i="5" s="1"/>
  <c r="N97" i="5" s="1"/>
  <c r="O28" i="6"/>
  <c r="O29" i="6"/>
  <c r="M22" i="9" s="1"/>
  <c r="M8" i="10" s="1"/>
  <c r="L31" i="9"/>
  <c r="O319" i="3"/>
  <c r="P26" i="5" s="1"/>
  <c r="L22" i="9"/>
  <c r="L8" i="10" s="1"/>
  <c r="N19" i="8"/>
  <c r="P319" i="3" l="1"/>
  <c r="Q26" i="5" s="1"/>
  <c r="M31" i="9"/>
  <c r="O49" i="5"/>
  <c r="O74" i="5" s="1"/>
  <c r="O97" i="5" s="1"/>
  <c r="P46" i="6" l="1"/>
  <c r="P49" i="5"/>
  <c r="P74" i="5" s="1"/>
  <c r="P97" i="5" s="1"/>
  <c r="P41" i="6"/>
  <c r="Q49" i="5" l="1"/>
  <c r="Q74" i="5" s="1"/>
  <c r="P47" i="6"/>
  <c r="Q97" i="5" l="1"/>
  <c r="P23" i="6"/>
  <c r="P28" i="6" l="1"/>
  <c r="P29" i="6"/>
  <c r="O19" i="8"/>
  <c r="Q319" i="3" l="1"/>
  <c r="N31" i="9"/>
  <c r="N8" i="10"/>
  <c r="N22" i="9"/>
  <c r="R26" i="5" l="1"/>
  <c r="R49" i="5" l="1"/>
  <c r="R74" i="5" s="1"/>
  <c r="S74" i="5" s="1"/>
  <c r="H120" i="5" l="1"/>
  <c r="H142" i="5" s="1"/>
  <c r="O120" i="5"/>
  <c r="O142" i="5" s="1"/>
  <c r="L120" i="5"/>
  <c r="L142" i="5" s="1"/>
  <c r="M120" i="5"/>
  <c r="M142" i="5" s="1"/>
  <c r="N120" i="5"/>
  <c r="N142" i="5" s="1"/>
  <c r="J120" i="5"/>
  <c r="J142" i="5" s="1"/>
  <c r="P120" i="5"/>
  <c r="P142" i="5" s="1"/>
  <c r="I120" i="5"/>
  <c r="I142" i="5" s="1"/>
  <c r="K120" i="5"/>
  <c r="K142" i="5" s="1"/>
  <c r="Q120" i="5"/>
  <c r="Q142" i="5" s="1"/>
  <c r="H76" i="5" l="1"/>
  <c r="I102" i="5" l="1"/>
  <c r="I124" i="5" s="1"/>
  <c r="J102" i="5"/>
  <c r="J124" i="5" s="1"/>
  <c r="H102" i="5"/>
  <c r="H124" i="5" s="1"/>
  <c r="H105" i="5"/>
  <c r="H127" i="5" s="1"/>
  <c r="I105" i="5" l="1"/>
  <c r="I127" i="5" s="1"/>
  <c r="G27" i="7"/>
  <c r="F27" i="7"/>
  <c r="E27" i="7"/>
  <c r="L102" i="5"/>
  <c r="L124" i="5" s="1"/>
  <c r="K102" i="5"/>
  <c r="K124" i="5" s="1"/>
  <c r="E28" i="7" l="1"/>
  <c r="F28" i="7"/>
  <c r="O102" i="5"/>
  <c r="O124" i="5" s="1"/>
  <c r="H27" i="7"/>
  <c r="H28" i="7" s="1"/>
  <c r="M102" i="5"/>
  <c r="M124" i="5" s="1"/>
  <c r="I27" i="7"/>
  <c r="L105" i="5"/>
  <c r="L127" i="5" s="1"/>
  <c r="J105" i="5"/>
  <c r="J127" i="5" s="1"/>
  <c r="K105" i="5"/>
  <c r="K127" i="5" s="1"/>
  <c r="G28" i="7"/>
  <c r="N102" i="5" l="1"/>
  <c r="N124" i="5" s="1"/>
  <c r="F11" i="11"/>
  <c r="H29" i="7"/>
  <c r="K27" i="7"/>
  <c r="J27" i="7"/>
  <c r="D11" i="11"/>
  <c r="F29" i="7"/>
  <c r="C11" i="11"/>
  <c r="E29" i="7"/>
  <c r="L27" i="7"/>
  <c r="E11" i="11"/>
  <c r="G29" i="7"/>
  <c r="I28" i="7"/>
  <c r="K28" i="7" l="1"/>
  <c r="I11" i="11" s="1"/>
  <c r="L28" i="7"/>
  <c r="C19" i="11"/>
  <c r="E14" i="8"/>
  <c r="E18" i="9"/>
  <c r="P102" i="5"/>
  <c r="P124" i="5" s="1"/>
  <c r="Q102" i="5"/>
  <c r="Q124" i="5" s="1"/>
  <c r="J28" i="7"/>
  <c r="F19" i="11"/>
  <c r="H18" i="9"/>
  <c r="H14" i="8"/>
  <c r="K320" i="3" s="1"/>
  <c r="G11" i="11"/>
  <c r="I29" i="7"/>
  <c r="D19" i="11"/>
  <c r="F18" i="9"/>
  <c r="F14" i="8"/>
  <c r="N105" i="5"/>
  <c r="N127" i="5" s="1"/>
  <c r="G18" i="9"/>
  <c r="E19" i="11"/>
  <c r="G14" i="8"/>
  <c r="M105" i="5"/>
  <c r="M127" i="5" s="1"/>
  <c r="I19" i="7" l="1"/>
  <c r="I23" i="7" s="1"/>
  <c r="I24" i="7" s="1"/>
  <c r="L27" i="5"/>
  <c r="K321" i="3"/>
  <c r="K29" i="7"/>
  <c r="K18" i="9" s="1"/>
  <c r="O105" i="5"/>
  <c r="O127" i="5" s="1"/>
  <c r="P105" i="5"/>
  <c r="P127" i="5" s="1"/>
  <c r="G25" i="8"/>
  <c r="G26" i="8" s="1"/>
  <c r="J320" i="3"/>
  <c r="G55" i="7"/>
  <c r="G56" i="7" s="1"/>
  <c r="H25" i="8"/>
  <c r="H26" i="8" s="1"/>
  <c r="H55" i="7"/>
  <c r="H56" i="7" s="1"/>
  <c r="J11" i="11"/>
  <c r="L29" i="7"/>
  <c r="F25" i="8"/>
  <c r="F26" i="8" s="1"/>
  <c r="F55" i="7"/>
  <c r="F56" i="7" s="1"/>
  <c r="I320" i="3"/>
  <c r="N27" i="7"/>
  <c r="M27" i="7"/>
  <c r="E55" i="7"/>
  <c r="H320" i="3"/>
  <c r="E25" i="8"/>
  <c r="G19" i="11"/>
  <c r="I18" i="9"/>
  <c r="I14" i="8"/>
  <c r="L320" i="3" s="1"/>
  <c r="H11" i="11"/>
  <c r="J29" i="7"/>
  <c r="I19" i="11" l="1"/>
  <c r="L28" i="5"/>
  <c r="L50" i="5"/>
  <c r="L51" i="5" s="1"/>
  <c r="H32" i="9"/>
  <c r="H29" i="9" s="1"/>
  <c r="H33" i="9" s="1"/>
  <c r="H7" i="10" s="1"/>
  <c r="J19" i="7"/>
  <c r="L321" i="3"/>
  <c r="M27" i="5"/>
  <c r="G21" i="11"/>
  <c r="G15" i="11"/>
  <c r="I23" i="9"/>
  <c r="K14" i="8"/>
  <c r="N320" i="3" s="1"/>
  <c r="I55" i="7"/>
  <c r="I56" i="7" s="1"/>
  <c r="I25" i="8"/>
  <c r="I26" i="8" s="1"/>
  <c r="H321" i="3"/>
  <c r="I27" i="5"/>
  <c r="F19" i="7"/>
  <c r="G19" i="7"/>
  <c r="G23" i="7" s="1"/>
  <c r="G24" i="7" s="1"/>
  <c r="I321" i="3"/>
  <c r="J27" i="5"/>
  <c r="J321" i="3"/>
  <c r="K27" i="5"/>
  <c r="H19" i="7"/>
  <c r="H23" i="7" s="1"/>
  <c r="H24" i="7" s="1"/>
  <c r="Q105" i="5"/>
  <c r="Q127" i="5" s="1"/>
  <c r="E56" i="7"/>
  <c r="N28" i="7"/>
  <c r="M28" i="7"/>
  <c r="H19" i="11"/>
  <c r="J18" i="9"/>
  <c r="J14" i="8"/>
  <c r="M320" i="3" s="1"/>
  <c r="E26" i="8"/>
  <c r="J19" i="11"/>
  <c r="L18" i="9"/>
  <c r="L14" i="8"/>
  <c r="O320" i="3" s="1"/>
  <c r="K25" i="8" l="1"/>
  <c r="K26" i="8" s="1"/>
  <c r="K55" i="7"/>
  <c r="K56" i="7" s="1"/>
  <c r="K19" i="7"/>
  <c r="N27" i="5"/>
  <c r="M321" i="3"/>
  <c r="M19" i="7"/>
  <c r="M23" i="7" s="1"/>
  <c r="M24" i="7" s="1"/>
  <c r="O321" i="3"/>
  <c r="P27" i="5"/>
  <c r="L19" i="7"/>
  <c r="L23" i="7" s="1"/>
  <c r="L24" i="7" s="1"/>
  <c r="O27" i="5"/>
  <c r="N321" i="3"/>
  <c r="M50" i="5"/>
  <c r="M51" i="5" s="1"/>
  <c r="M28" i="5"/>
  <c r="J23" i="7" s="1"/>
  <c r="J24" i="7" s="1"/>
  <c r="I32" i="9"/>
  <c r="I29" i="9" s="1"/>
  <c r="I33" i="9" s="1"/>
  <c r="I7" i="10" s="1"/>
  <c r="F23" i="7"/>
  <c r="L55" i="7"/>
  <c r="L56" i="7" s="1"/>
  <c r="L25" i="8"/>
  <c r="L26" i="8" s="1"/>
  <c r="H23" i="9"/>
  <c r="F15" i="11"/>
  <c r="F21" i="11"/>
  <c r="I50" i="5"/>
  <c r="I28" i="5"/>
  <c r="E32" i="9"/>
  <c r="J25" i="8"/>
  <c r="J26" i="8" s="1"/>
  <c r="J55" i="7"/>
  <c r="L11" i="11"/>
  <c r="N29" i="7"/>
  <c r="F32" i="9"/>
  <c r="F29" i="9" s="1"/>
  <c r="F33" i="9" s="1"/>
  <c r="F7" i="10" s="1"/>
  <c r="J28" i="5"/>
  <c r="J50" i="5"/>
  <c r="J51" i="5" s="1"/>
  <c r="K11" i="11"/>
  <c r="M29" i="7"/>
  <c r="E58" i="7"/>
  <c r="F57" i="7"/>
  <c r="K50" i="5"/>
  <c r="K51" i="5" s="1"/>
  <c r="G32" i="9"/>
  <c r="G29" i="9" s="1"/>
  <c r="G33" i="9" s="1"/>
  <c r="G7" i="10" s="1"/>
  <c r="K28" i="5"/>
  <c r="E15" i="11"/>
  <c r="G23" i="9"/>
  <c r="E21" i="11"/>
  <c r="H21" i="11" l="1"/>
  <c r="J23" i="9"/>
  <c r="H15" i="11"/>
  <c r="L23" i="9"/>
  <c r="J15" i="11"/>
  <c r="J21" i="11"/>
  <c r="P28" i="5"/>
  <c r="P50" i="5"/>
  <c r="P51" i="5" s="1"/>
  <c r="L32" i="9"/>
  <c r="L29" i="9" s="1"/>
  <c r="L33" i="9" s="1"/>
  <c r="L7" i="10" s="1"/>
  <c r="N50" i="5"/>
  <c r="N51" i="5" s="1"/>
  <c r="J32" i="9"/>
  <c r="J29" i="9" s="1"/>
  <c r="J33" i="9" s="1"/>
  <c r="J7" i="10" s="1"/>
  <c r="N28" i="5"/>
  <c r="K23" i="7" s="1"/>
  <c r="K24" i="7" s="1"/>
  <c r="O28" i="5"/>
  <c r="O50" i="5"/>
  <c r="O51" i="5" s="1"/>
  <c r="K32" i="9"/>
  <c r="K29" i="9" s="1"/>
  <c r="K33" i="9" s="1"/>
  <c r="K7" i="10" s="1"/>
  <c r="K21" i="11"/>
  <c r="K15" i="11"/>
  <c r="M23" i="9"/>
  <c r="L19" i="11"/>
  <c r="N14" i="8"/>
  <c r="E29" i="9"/>
  <c r="J75" i="5"/>
  <c r="L75" i="5"/>
  <c r="K75" i="5"/>
  <c r="M75" i="5"/>
  <c r="I75" i="5"/>
  <c r="I98" i="5" s="1"/>
  <c r="I51" i="5"/>
  <c r="K19" i="11"/>
  <c r="M18" i="9"/>
  <c r="M14" i="8"/>
  <c r="P320" i="3" s="1"/>
  <c r="O27" i="7"/>
  <c r="J56" i="7"/>
  <c r="F24" i="7"/>
  <c r="G57" i="7"/>
  <c r="F58" i="7"/>
  <c r="F60" i="7" s="1"/>
  <c r="E60" i="7"/>
  <c r="J98" i="5" l="1"/>
  <c r="O75" i="5"/>
  <c r="N75" i="5"/>
  <c r="P75" i="5"/>
  <c r="N19" i="7"/>
  <c r="Q27" i="5"/>
  <c r="P321" i="3"/>
  <c r="E404" i="3" s="1"/>
  <c r="G404" i="3" s="1"/>
  <c r="I15" i="11"/>
  <c r="I21" i="11"/>
  <c r="K23" i="9"/>
  <c r="D21" i="11"/>
  <c r="F23" i="9"/>
  <c r="D15" i="11"/>
  <c r="J76" i="5"/>
  <c r="N25" i="8"/>
  <c r="N26" i="8" s="1"/>
  <c r="N55" i="7"/>
  <c r="N56" i="7" s="1"/>
  <c r="O28" i="7"/>
  <c r="M55" i="7"/>
  <c r="M25" i="8"/>
  <c r="I76" i="5"/>
  <c r="K76" i="5"/>
  <c r="H57" i="7"/>
  <c r="G58" i="7"/>
  <c r="M76" i="5"/>
  <c r="O76" i="5"/>
  <c r="L76" i="5"/>
  <c r="E33" i="9"/>
  <c r="K98" i="5" l="1"/>
  <c r="L98" i="5" s="1"/>
  <c r="P76" i="5"/>
  <c r="N76" i="5"/>
  <c r="N23" i="7"/>
  <c r="M32" i="9"/>
  <c r="Q28" i="5"/>
  <c r="Q50" i="5"/>
  <c r="O11" i="11"/>
  <c r="M56" i="7"/>
  <c r="G60" i="7"/>
  <c r="N11" i="11"/>
  <c r="O29" i="7"/>
  <c r="O19" i="11" s="1"/>
  <c r="I57" i="7"/>
  <c r="H58" i="7"/>
  <c r="H60" i="7" s="1"/>
  <c r="E7" i="10"/>
  <c r="M26" i="8"/>
  <c r="M98" i="5" l="1"/>
  <c r="O19" i="7"/>
  <c r="Q321" i="3"/>
  <c r="Q320" i="3"/>
  <c r="M29" i="9"/>
  <c r="Q51" i="5"/>
  <c r="Q75" i="5"/>
  <c r="N24" i="7"/>
  <c r="P11" i="11"/>
  <c r="N19" i="11"/>
  <c r="P19" i="11" s="1"/>
  <c r="O14" i="8"/>
  <c r="N18" i="9"/>
  <c r="J57" i="7"/>
  <c r="I58" i="7"/>
  <c r="I60" i="7" s="1"/>
  <c r="N98" i="5" l="1"/>
  <c r="O98" i="5" s="1"/>
  <c r="Q76" i="5"/>
  <c r="R27" i="5"/>
  <c r="L21" i="11"/>
  <c r="N23" i="9"/>
  <c r="L15" i="11"/>
  <c r="M33" i="9"/>
  <c r="K57" i="7"/>
  <c r="J58" i="7"/>
  <c r="P98" i="5" l="1"/>
  <c r="Q98" i="5" s="1"/>
  <c r="R28" i="5"/>
  <c r="M7" i="10"/>
  <c r="N32" i="9"/>
  <c r="R51" i="5"/>
  <c r="R50" i="5"/>
  <c r="R75" i="5" s="1"/>
  <c r="S75" i="5" s="1"/>
  <c r="O25" i="8"/>
  <c r="O56" i="7"/>
  <c r="J60" i="7"/>
  <c r="O55" i="7"/>
  <c r="L57" i="7"/>
  <c r="K58" i="7"/>
  <c r="K60" i="7" s="1"/>
  <c r="K324" i="3" l="1"/>
  <c r="E403" i="3"/>
  <c r="G403" i="3" s="1"/>
  <c r="N29" i="9"/>
  <c r="O23" i="7"/>
  <c r="M57" i="7"/>
  <c r="L58" i="7"/>
  <c r="L60" i="7" s="1"/>
  <c r="N7" i="10" l="1"/>
  <c r="N33" i="9"/>
  <c r="N21" i="11"/>
  <c r="N15" i="11"/>
  <c r="O15" i="11"/>
  <c r="O24" i="7"/>
  <c r="O21" i="11" s="1"/>
  <c r="N57" i="7"/>
  <c r="M58" i="7"/>
  <c r="M60" i="7" s="1"/>
  <c r="P21" i="11" l="1"/>
  <c r="P15" i="11"/>
  <c r="N58" i="7"/>
  <c r="N60" i="7" s="1"/>
  <c r="O60" i="7" l="1"/>
  <c r="O58" i="7"/>
  <c r="H121" i="5" l="1"/>
  <c r="H143" i="5" s="1"/>
  <c r="H144" i="5" s="1"/>
  <c r="H99" i="5"/>
  <c r="E17" i="8" s="1"/>
  <c r="E7" i="8" s="1"/>
  <c r="I99" i="5" l="1"/>
  <c r="F17" i="8" s="1"/>
  <c r="F7" i="8" s="1"/>
  <c r="F18" i="8" s="1"/>
  <c r="F28" i="8" s="1"/>
  <c r="F29" i="8" s="1"/>
  <c r="I121" i="5"/>
  <c r="I143" i="5" s="1"/>
  <c r="I144" i="5" s="1"/>
  <c r="E18" i="8"/>
  <c r="J99" i="5"/>
  <c r="G17" i="8" s="1"/>
  <c r="G7" i="8" s="1"/>
  <c r="G18" i="8" s="1"/>
  <c r="J121" i="5"/>
  <c r="J143" i="5" s="1"/>
  <c r="J144" i="5" s="1"/>
  <c r="F20" i="8" l="1"/>
  <c r="F32" i="7" s="1"/>
  <c r="K99" i="5"/>
  <c r="H17" i="8" s="1"/>
  <c r="H7" i="8" s="1"/>
  <c r="H18" i="8" s="1"/>
  <c r="E28" i="8"/>
  <c r="E20" i="8"/>
  <c r="L99" i="5"/>
  <c r="I17" i="8" s="1"/>
  <c r="I7" i="8" s="1"/>
  <c r="I18" i="8" s="1"/>
  <c r="G28" i="8"/>
  <c r="G29" i="8" s="1"/>
  <c r="G20" i="8"/>
  <c r="K121" i="5"/>
  <c r="K143" i="5" s="1"/>
  <c r="K144" i="5" s="1"/>
  <c r="I28" i="8" l="1"/>
  <c r="I29" i="8" s="1"/>
  <c r="I20" i="8"/>
  <c r="E29" i="8"/>
  <c r="L121" i="5"/>
  <c r="L143" i="5" s="1"/>
  <c r="L144" i="5" s="1"/>
  <c r="G32" i="7"/>
  <c r="E32" i="7"/>
  <c r="H28" i="8"/>
  <c r="H29" i="8" s="1"/>
  <c r="H20" i="8"/>
  <c r="M99" i="5" l="1"/>
  <c r="J17" i="8" s="1"/>
  <c r="I32" i="7"/>
  <c r="H32" i="7"/>
  <c r="F33" i="7"/>
  <c r="E34" i="7"/>
  <c r="N121" i="5"/>
  <c r="N143" i="5" s="1"/>
  <c r="N144" i="5" s="1"/>
  <c r="M121" i="5"/>
  <c r="M143" i="5" s="1"/>
  <c r="M144" i="5" s="1"/>
  <c r="G33" i="7" l="1"/>
  <c r="F34" i="7"/>
  <c r="O121" i="5"/>
  <c r="O143" i="5" s="1"/>
  <c r="O144" i="5" s="1"/>
  <c r="N99" i="5"/>
  <c r="K17" i="8" s="1"/>
  <c r="K7" i="8" s="1"/>
  <c r="K18" i="8" s="1"/>
  <c r="C8" i="11"/>
  <c r="E35" i="7"/>
  <c r="J7" i="8"/>
  <c r="P99" i="5" l="1"/>
  <c r="M17" i="8" s="1"/>
  <c r="M7" i="8" s="1"/>
  <c r="M18" i="8" s="1"/>
  <c r="M28" i="8" s="1"/>
  <c r="M29" i="8" s="1"/>
  <c r="K20" i="8"/>
  <c r="K28" i="8"/>
  <c r="K29" i="8" s="1"/>
  <c r="D8" i="11"/>
  <c r="F35" i="7"/>
  <c r="H33" i="7"/>
  <c r="G34" i="7"/>
  <c r="C17" i="11"/>
  <c r="E21" i="8"/>
  <c r="J18" i="8"/>
  <c r="O99" i="5"/>
  <c r="L17" i="8" s="1"/>
  <c r="L7" i="8" s="1"/>
  <c r="L18" i="8" s="1"/>
  <c r="Q99" i="5" l="1"/>
  <c r="N17" i="8" s="1"/>
  <c r="N7" i="8" s="1"/>
  <c r="N18" i="8" s="1"/>
  <c r="P121" i="5"/>
  <c r="P143" i="5" s="1"/>
  <c r="P144" i="5" s="1"/>
  <c r="M20" i="8"/>
  <c r="M32" i="7" s="1"/>
  <c r="G35" i="7"/>
  <c r="E8" i="11"/>
  <c r="I33" i="7"/>
  <c r="H34" i="7"/>
  <c r="E21" i="9"/>
  <c r="E22" i="8"/>
  <c r="K32" i="7"/>
  <c r="L28" i="8"/>
  <c r="L29" i="8" s="1"/>
  <c r="L20" i="8"/>
  <c r="J28" i="8"/>
  <c r="J20" i="8"/>
  <c r="C69" i="11"/>
  <c r="C71" i="11" s="1"/>
  <c r="C72" i="11"/>
  <c r="F21" i="8"/>
  <c r="D17" i="11"/>
  <c r="Q121" i="5" l="1"/>
  <c r="Q143" i="5" s="1"/>
  <c r="Q144" i="5" s="1"/>
  <c r="F21" i="9"/>
  <c r="F11" i="9" s="1"/>
  <c r="F25" i="9" s="1"/>
  <c r="F22" i="8"/>
  <c r="J32" i="7"/>
  <c r="F8" i="11"/>
  <c r="H35" i="7"/>
  <c r="C73" i="11"/>
  <c r="D69" i="11"/>
  <c r="D71" i="11" s="1"/>
  <c r="D72" i="11"/>
  <c r="J29" i="8"/>
  <c r="I34" i="7"/>
  <c r="J33" i="7"/>
  <c r="G21" i="8"/>
  <c r="E17" i="11"/>
  <c r="L32" i="7"/>
  <c r="E11" i="9"/>
  <c r="N28" i="8"/>
  <c r="N29" i="8" s="1"/>
  <c r="N20" i="8"/>
  <c r="E72" i="11" l="1"/>
  <c r="E69" i="11"/>
  <c r="E71" i="11" s="1"/>
  <c r="K33" i="7"/>
  <c r="J34" i="7"/>
  <c r="G21" i="9"/>
  <c r="G22" i="8"/>
  <c r="D73" i="11"/>
  <c r="H21" i="8"/>
  <c r="F17" i="11"/>
  <c r="N32" i="7"/>
  <c r="E25" i="9"/>
  <c r="G8" i="11"/>
  <c r="I35" i="7"/>
  <c r="F6" i="10"/>
  <c r="F9" i="10" s="1"/>
  <c r="F19" i="10" s="1"/>
  <c r="F24" i="10" s="1"/>
  <c r="F44" i="9"/>
  <c r="E73" i="11" l="1"/>
  <c r="G17" i="11"/>
  <c r="I21" i="8"/>
  <c r="E44" i="9"/>
  <c r="E46" i="9" s="1"/>
  <c r="F45" i="9" s="1"/>
  <c r="F47" i="9" s="1"/>
  <c r="E6" i="10"/>
  <c r="H8" i="11"/>
  <c r="J35" i="7"/>
  <c r="L33" i="7"/>
  <c r="K34" i="7"/>
  <c r="F72" i="11"/>
  <c r="F69" i="11"/>
  <c r="F71" i="11" s="1"/>
  <c r="H21" i="9"/>
  <c r="H11" i="9" s="1"/>
  <c r="H25" i="9" s="1"/>
  <c r="H22" i="8"/>
  <c r="G11" i="9"/>
  <c r="H44" i="9" l="1"/>
  <c r="H6" i="10"/>
  <c r="H9" i="10" s="1"/>
  <c r="H19" i="10" s="1"/>
  <c r="H24" i="10" s="1"/>
  <c r="O17" i="8"/>
  <c r="J21" i="8"/>
  <c r="H17" i="11"/>
  <c r="E9" i="10"/>
  <c r="I21" i="9"/>
  <c r="I11" i="9" s="1"/>
  <c r="I25" i="9" s="1"/>
  <c r="I22" i="8"/>
  <c r="F73" i="11"/>
  <c r="I8" i="11"/>
  <c r="K35" i="7"/>
  <c r="G69" i="11"/>
  <c r="G71" i="11" s="1"/>
  <c r="G72" i="11"/>
  <c r="G25" i="9"/>
  <c r="M33" i="7"/>
  <c r="L34" i="7"/>
  <c r="F46" i="9"/>
  <c r="G45" i="9" s="1"/>
  <c r="G47" i="9" s="1"/>
  <c r="G6" i="10" l="1"/>
  <c r="G44" i="9"/>
  <c r="G46" i="9" s="1"/>
  <c r="H45" i="9" s="1"/>
  <c r="H47" i="9" s="1"/>
  <c r="H69" i="11"/>
  <c r="H71" i="11" s="1"/>
  <c r="H72" i="11"/>
  <c r="J8" i="11"/>
  <c r="L35" i="7"/>
  <c r="J21" i="9"/>
  <c r="J11" i="9" s="1"/>
  <c r="J25" i="9" s="1"/>
  <c r="J22" i="8"/>
  <c r="I6" i="10"/>
  <c r="I9" i="10" s="1"/>
  <c r="I19" i="10" s="1"/>
  <c r="I24" i="10" s="1"/>
  <c r="I44" i="9"/>
  <c r="M34" i="7"/>
  <c r="N33" i="7"/>
  <c r="E19" i="10"/>
  <c r="G73" i="11"/>
  <c r="K21" i="8"/>
  <c r="I17" i="11"/>
  <c r="O7" i="8"/>
  <c r="Q17" i="8" s="1"/>
  <c r="H46" i="9" l="1"/>
  <c r="I45" i="9" s="1"/>
  <c r="I47" i="9" s="1"/>
  <c r="J44" i="9"/>
  <c r="J6" i="10"/>
  <c r="J9" i="10" s="1"/>
  <c r="J19" i="10" s="1"/>
  <c r="J24" i="10" s="1"/>
  <c r="H73" i="11"/>
  <c r="N34" i="7"/>
  <c r="L21" i="8"/>
  <c r="J17" i="11"/>
  <c r="I69" i="11"/>
  <c r="I71" i="11" s="1"/>
  <c r="I72" i="11"/>
  <c r="K8" i="11"/>
  <c r="M35" i="7"/>
  <c r="O18" i="8"/>
  <c r="Q9" i="8"/>
  <c r="Q12" i="8"/>
  <c r="Q14" i="8"/>
  <c r="Q8" i="8"/>
  <c r="Q10" i="8"/>
  <c r="Q13" i="8"/>
  <c r="Q16" i="8"/>
  <c r="Q11" i="8"/>
  <c r="Q15" i="8"/>
  <c r="K21" i="9"/>
  <c r="K22" i="8"/>
  <c r="E24" i="10"/>
  <c r="E20" i="10"/>
  <c r="G9" i="10"/>
  <c r="I46" i="9" l="1"/>
  <c r="J45" i="9" s="1"/>
  <c r="J47" i="9" s="1"/>
  <c r="O28" i="8"/>
  <c r="L21" i="9"/>
  <c r="L11" i="9" s="1"/>
  <c r="L25" i="9" s="1"/>
  <c r="L22" i="8"/>
  <c r="O20" i="8"/>
  <c r="O8" i="11" s="1"/>
  <c r="I73" i="11"/>
  <c r="L8" i="11"/>
  <c r="N35" i="7"/>
  <c r="K11" i="9"/>
  <c r="G19" i="10"/>
  <c r="D31" i="10" s="1"/>
  <c r="M21" i="8"/>
  <c r="K17" i="11"/>
  <c r="E22" i="10"/>
  <c r="F20" i="10"/>
  <c r="E25" i="10"/>
  <c r="J69" i="11"/>
  <c r="J71" i="11" s="1"/>
  <c r="J72" i="11"/>
  <c r="J46" i="9" l="1"/>
  <c r="K45" i="9" s="1"/>
  <c r="K47" i="9" s="1"/>
  <c r="E26" i="10"/>
  <c r="F25" i="10"/>
  <c r="K69" i="11"/>
  <c r="K71" i="11" s="1"/>
  <c r="K72" i="11"/>
  <c r="M21" i="9"/>
  <c r="M11" i="9" s="1"/>
  <c r="M25" i="9" s="1"/>
  <c r="M22" i="8"/>
  <c r="L6" i="10"/>
  <c r="L9" i="10" s="1"/>
  <c r="L19" i="10" s="1"/>
  <c r="L24" i="10" s="1"/>
  <c r="L44" i="9"/>
  <c r="L17" i="11"/>
  <c r="N21" i="8"/>
  <c r="O32" i="7"/>
  <c r="K25" i="9"/>
  <c r="J73" i="11"/>
  <c r="F22" i="10"/>
  <c r="G20" i="10"/>
  <c r="O33" i="7"/>
  <c r="G24" i="10"/>
  <c r="D30" i="10" s="1"/>
  <c r="K73" i="11" l="1"/>
  <c r="K6" i="10"/>
  <c r="K44" i="9"/>
  <c r="K46" i="9" s="1"/>
  <c r="L45" i="9" s="1"/>
  <c r="L47" i="9" s="1"/>
  <c r="G22" i="10"/>
  <c r="H20" i="10"/>
  <c r="L69" i="11"/>
  <c r="L71" i="11" s="1"/>
  <c r="L72" i="11"/>
  <c r="M6" i="10"/>
  <c r="M9" i="10" s="1"/>
  <c r="M19" i="10" s="1"/>
  <c r="M24" i="10" s="1"/>
  <c r="M44" i="9"/>
  <c r="F26" i="10"/>
  <c r="G25" i="10"/>
  <c r="N22" i="8"/>
  <c r="L46" i="9" l="1"/>
  <c r="M45" i="9" s="1"/>
  <c r="M47" i="9" s="1"/>
  <c r="L73" i="11"/>
  <c r="H22" i="10"/>
  <c r="I20" i="10"/>
  <c r="K9" i="10"/>
  <c r="G26" i="10"/>
  <c r="H25" i="10"/>
  <c r="N8" i="11"/>
  <c r="P8" i="11" s="1"/>
  <c r="O34" i="7"/>
  <c r="M46" i="9" l="1"/>
  <c r="O35" i="7"/>
  <c r="I25" i="10"/>
  <c r="H26" i="10"/>
  <c r="I22" i="10"/>
  <c r="J20" i="10"/>
  <c r="K19" i="10"/>
  <c r="K24" i="10" l="1"/>
  <c r="K20" i="10"/>
  <c r="J22" i="10"/>
  <c r="N17" i="11"/>
  <c r="N21" i="9"/>
  <c r="O21" i="8"/>
  <c r="O17" i="11" s="1"/>
  <c r="O22" i="8"/>
  <c r="I26" i="10"/>
  <c r="J25" i="10"/>
  <c r="E407" i="3" l="1"/>
  <c r="M71" i="11"/>
  <c r="H37" i="15" s="1"/>
  <c r="N11" i="9"/>
  <c r="K25" i="10"/>
  <c r="J26" i="10"/>
  <c r="P17" i="11"/>
  <c r="K22" i="10"/>
  <c r="L20" i="10"/>
  <c r="L22" i="10" l="1"/>
  <c r="M20" i="10"/>
  <c r="L25" i="10"/>
  <c r="K26" i="10"/>
  <c r="N25" i="9"/>
  <c r="L26" i="10" l="1"/>
  <c r="M25" i="10"/>
  <c r="N6" i="10"/>
  <c r="M22" i="10"/>
  <c r="D32" i="10" s="1"/>
  <c r="M26" i="10" l="1"/>
  <c r="N9" i="10"/>
  <c r="N19" i="10" l="1"/>
  <c r="E32" i="10" l="1"/>
  <c r="N24" i="10"/>
  <c r="D33" i="10" l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<sst xmlns="http://schemas.openxmlformats.org/spreadsheetml/2006/main" count="1884" uniqueCount="603">
  <si>
    <t xml:space="preserve">ЗАЯВКА </t>
  </si>
  <si>
    <t>(указывается причина направления заявки: на участие в отборе инвестиционных проектов;</t>
  </si>
  <si>
    <t>на корректировку параметров приоритетного инвестиционного проекта)</t>
  </si>
  <si>
    <t>Руководитель</t>
  </si>
  <si>
    <t>Контактные данные инициатора инвестиционного проекта:
ФИО, контактный телефон, email</t>
  </si>
  <si>
    <t>Предоставление земельных участков в аренду без проведения торгов</t>
  </si>
  <si>
    <t>Итого</t>
  </si>
  <si>
    <t>Площадь</t>
  </si>
  <si>
    <t>Вид разрешенного использования</t>
  </si>
  <si>
    <t>Вид права</t>
  </si>
  <si>
    <t>(подпись)</t>
  </si>
  <si>
    <t>(ФИО)</t>
  </si>
  <si>
    <t>М.П.</t>
  </si>
  <si>
    <t>(дата)</t>
  </si>
  <si>
    <t>%</t>
  </si>
  <si>
    <t>лет</t>
  </si>
  <si>
    <t>ПРЕДПОСЫЛКИ</t>
  </si>
  <si>
    <t>Наименование проекта</t>
  </si>
  <si>
    <t>Инициатор проекта</t>
  </si>
  <si>
    <t>Дата расчетов</t>
  </si>
  <si>
    <t>МАКРОЭКОНОМИЧЕСКИЕ ПРЕДПОСЫЛКИ</t>
  </si>
  <si>
    <t>Инфляция заработной платы</t>
  </si>
  <si>
    <t>Источник:</t>
  </si>
  <si>
    <t>Прогноз социально-экономического развития (Минэкономразвития РФ)</t>
  </si>
  <si>
    <t>ВЫРУЧКА</t>
  </si>
  <si>
    <t>мес.</t>
  </si>
  <si>
    <t>чел.</t>
  </si>
  <si>
    <t>тыс.руб./мес.</t>
  </si>
  <si>
    <t>Взносы во внебюджетные фонды</t>
  </si>
  <si>
    <t>Электроэнергия</t>
  </si>
  <si>
    <t>Горячее водоснабжение</t>
  </si>
  <si>
    <t>Холодное водоснабжение</t>
  </si>
  <si>
    <t>Водоотведение</t>
  </si>
  <si>
    <t>Теплоснабжение</t>
  </si>
  <si>
    <t>Газоснабжение</t>
  </si>
  <si>
    <t>Кадастровый номер</t>
  </si>
  <si>
    <t>-</t>
  </si>
  <si>
    <t>Га</t>
  </si>
  <si>
    <t>Кадастровая стоимость (КС)</t>
  </si>
  <si>
    <t>тыс.руб.</t>
  </si>
  <si>
    <t>Ставка аренды земельного участка</t>
  </si>
  <si>
    <t>% от КС</t>
  </si>
  <si>
    <t>Льготная ставка аренды</t>
  </si>
  <si>
    <t>тыс.руб./Га</t>
  </si>
  <si>
    <t>ИНВЕСТИЦИИ</t>
  </si>
  <si>
    <t>Процентная ставка по кредиту</t>
  </si>
  <si>
    <t>% год.</t>
  </si>
  <si>
    <t>НАЛОГОВОЕ ОКРУЖЕНИЕ</t>
  </si>
  <si>
    <t>Ставка НДС</t>
  </si>
  <si>
    <t>Ставка налога на недвиж.имущество</t>
  </si>
  <si>
    <t>Ставка налога на прибыль</t>
  </si>
  <si>
    <t>Ставка НДФЛ (налог включен в з/п)</t>
  </si>
  <si>
    <t>Ед.изм.</t>
  </si>
  <si>
    <t>Инфляция накопленным итогом</t>
  </si>
  <si>
    <t>Индексация заработной платы накопленным итогом</t>
  </si>
  <si>
    <t xml:space="preserve"> </t>
  </si>
  <si>
    <t>Инфляция накопл.итогом</t>
  </si>
  <si>
    <t>РАСЧЕТ ОСНОВНЫХ СРЕДСТВ</t>
  </si>
  <si>
    <t>СПИ</t>
  </si>
  <si>
    <t>Доля собственных средств</t>
  </si>
  <si>
    <t>Доля заемных средств</t>
  </si>
  <si>
    <t>Остаток на начало</t>
  </si>
  <si>
    <t>Платеж</t>
  </si>
  <si>
    <t>Погашение процентов</t>
  </si>
  <si>
    <t>Погашение осн.суммы долга</t>
  </si>
  <si>
    <t>Остаток на конец</t>
  </si>
  <si>
    <t>НДС</t>
  </si>
  <si>
    <t>Исходящий НДС (выручка)</t>
  </si>
  <si>
    <t>Входящий НДС (операц. расходы)</t>
  </si>
  <si>
    <t>Входящий НДС (кап. расходы)</t>
  </si>
  <si>
    <t>Налог на недвижимое имущество</t>
  </si>
  <si>
    <t>Стоимость недвижимого имущества</t>
  </si>
  <si>
    <t>Среднегодовая стоимость недвижимого имущества</t>
  </si>
  <si>
    <t>Налог на прибыль</t>
  </si>
  <si>
    <t>Прибыль до налогообложения</t>
  </si>
  <si>
    <t>Убытки предыдущих периодов</t>
  </si>
  <si>
    <t>Налогооблагаемая прибыль</t>
  </si>
  <si>
    <t>НДФЛ</t>
  </si>
  <si>
    <t>Налог НДФЛ</t>
  </si>
  <si>
    <t>Доля</t>
  </si>
  <si>
    <t>Выручка</t>
  </si>
  <si>
    <t>EBITDA</t>
  </si>
  <si>
    <t>EBIT</t>
  </si>
  <si>
    <t>ЗНАЧЕНИЯ С НДС</t>
  </si>
  <si>
    <t>Притоки</t>
  </si>
  <si>
    <t>Оттоки</t>
  </si>
  <si>
    <t xml:space="preserve">Притоки </t>
  </si>
  <si>
    <t>Погашение основной суммы долга</t>
  </si>
  <si>
    <t>Чистый денежный поток</t>
  </si>
  <si>
    <t>Остаток денежных средств на начало периода</t>
  </si>
  <si>
    <t>Остаток денежных средств на конец периода</t>
  </si>
  <si>
    <t>FCFF</t>
  </si>
  <si>
    <t>Показатель</t>
  </si>
  <si>
    <t>Ссылка на источник</t>
  </si>
  <si>
    <t>Наименование показателя в источнике</t>
  </si>
  <si>
    <t>Безрисковая ставка (доходность ОФЗ со сроком погашения 15 лет)</t>
  </si>
  <si>
    <t>ЦБ</t>
  </si>
  <si>
    <t>Значение кривой бескупонной доходности гос.облигаций</t>
  </si>
  <si>
    <t>Коэффициент β (мера систематического риска)</t>
  </si>
  <si>
    <t>А. Дамодаран</t>
  </si>
  <si>
    <t>Рыночная премия за риск (EMRP)</t>
  </si>
  <si>
    <t>Historical risk premium</t>
  </si>
  <si>
    <t>Поправка на страновой риск</t>
  </si>
  <si>
    <t>Country Risk Premium</t>
  </si>
  <si>
    <t>Стоимость собственного капитала (по формуле CAPM)</t>
  </si>
  <si>
    <t>Стоимость заемного капитала</t>
  </si>
  <si>
    <t>WACC</t>
  </si>
  <si>
    <t>cum FCFF</t>
  </si>
  <si>
    <t>для расчета PP</t>
  </si>
  <si>
    <t>коэф.дисконтирования</t>
  </si>
  <si>
    <t>DFCFF</t>
  </si>
  <si>
    <t>cum DFCFF</t>
  </si>
  <si>
    <t>для расчета DPP</t>
  </si>
  <si>
    <t>NPV</t>
  </si>
  <si>
    <t>IRR</t>
  </si>
  <si>
    <t>PP - срок окупаемости</t>
  </si>
  <si>
    <t>DPP - дисконтированный срок окупаемости</t>
  </si>
  <si>
    <t>Прогнозные операционные показатели реализации инвестиционного проекта 
и планируемые налоговые поступления в бюджеты всех уровней бюджетной системы Российской Федерации</t>
  </si>
  <si>
    <t>Наименование показателя</t>
  </si>
  <si>
    <t>Ед. изм.</t>
  </si>
  <si>
    <t xml:space="preserve">Планируемый период, гг. </t>
  </si>
  <si>
    <t>1. Операционные показатели проекта</t>
  </si>
  <si>
    <t>Валовая выручка</t>
  </si>
  <si>
    <t>тыс. руб.</t>
  </si>
  <si>
    <t>ФОТ сотрудников, зарегистрированных в Пермском крае</t>
  </si>
  <si>
    <t>Кадастровая стоимость земельных участков (если применимо)</t>
  </si>
  <si>
    <t>Среднегодовая стоимость имущества, признаваемого объектом налогообложения</t>
  </si>
  <si>
    <t>Объем добычи</t>
  </si>
  <si>
    <t>нат. ед.</t>
  </si>
  <si>
    <t>Доходы, облагаемые НДС</t>
  </si>
  <si>
    <t>Расходы, облагаемые НДС</t>
  </si>
  <si>
    <t>НДС к возмещению</t>
  </si>
  <si>
    <t>2. Планируемые налоговые и прочие поступления в бюджет</t>
  </si>
  <si>
    <t>Налог на доходы физических лиц</t>
  </si>
  <si>
    <t>Налог на имущество организаций</t>
  </si>
  <si>
    <t>Земельный налог</t>
  </si>
  <si>
    <t>Отчисления во внебюджетные фонды (пенсионный, социального страхования, обязательного медицинского страхования)</t>
  </si>
  <si>
    <t>Транспортный налог</t>
  </si>
  <si>
    <t>Налог на добычу полезных ископаемых</t>
  </si>
  <si>
    <t>Акцизы (ГСМ), в том числе:</t>
  </si>
  <si>
    <t>федеральный бюджет</t>
  </si>
  <si>
    <t>бюджет Пермского края</t>
  </si>
  <si>
    <t>местный бюджет</t>
  </si>
  <si>
    <t>Акцизы (спиртосодержащая продукция), в том числе:</t>
  </si>
  <si>
    <t>Акцизы (прочие), в том числе:</t>
  </si>
  <si>
    <t>Водный налог</t>
  </si>
  <si>
    <t>Арендная плата за землю, в том числе:</t>
  </si>
  <si>
    <t>Арендная плата за имущество, в том числе:</t>
  </si>
  <si>
    <t>Плата за негативное воздействие на окружающую среду, в том числе:</t>
  </si>
  <si>
    <t>Плата за использование лесов, водных объектов, прочих природных ресурсов, в том числе:</t>
  </si>
  <si>
    <t>ОБЩАЯ ИНФОРМАЦИЯ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</si>
  <si>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</si>
  <si>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</si>
  <si>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</si>
  <si>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</si>
  <si>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</si>
  <si>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</si>
  <si>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</si>
  <si>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</si>
  <si>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</si>
  <si>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</si>
  <si>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ед.изм.</t>
  </si>
  <si>
    <t>ОБЪЕМ ПРОИЗВОДСТВА ПРОДУКЦИИ / ПРЕДОСТАВЛЕНИЯ УСЛУГ</t>
  </si>
  <si>
    <t>Наименование продукции / услуги</t>
  </si>
  <si>
    <t>ЦЕНА РЕАЛИЗАЦИИ ПРОДУКЦИИ / ПРЕДОСТАВЛЕНИЯ УСЛУГ</t>
  </si>
  <si>
    <t xml:space="preserve">Общая инфляция </t>
  </si>
  <si>
    <t>ОПЕРАЦИОННЫЕ РАСХОДЫ</t>
  </si>
  <si>
    <t>Наименование сырья / материала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</si>
  <si>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</si>
  <si>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</si>
  <si>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</si>
  <si>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</si>
  <si>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</si>
  <si>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</si>
  <si>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</si>
  <si>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</si>
  <si>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</si>
  <si>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</si>
  <si>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Наименование должности / структурного подразделения</t>
  </si>
  <si>
    <t>КОЛИЧЕСТВО ПОСТОЯННЫХ РАБОЧИХ МЕСТ НАКОПЛЕННЫМ ИТОГОМ</t>
  </si>
  <si>
    <t>ВЗНОСЫ ВО ВНЕБЮДЖЕТНЫЕ ФОНДЫ</t>
  </si>
  <si>
    <r>
      <t>ОБЪЕМ ПОТРЕБЛЕНИЯ СЫРЬЯ / МАТЕРИАЛА (</t>
    </r>
    <r>
      <rPr>
        <b/>
        <sz val="11"/>
        <color theme="0" tint="-0.499984740745262"/>
        <rFont val="Calibri"/>
        <family val="2"/>
        <charset val="204"/>
      </rPr>
      <t>В НАТУРАЛЬНОМ ВЫРАЖЕНИИ)</t>
    </r>
  </si>
  <si>
    <t>кВт*ч/год</t>
  </si>
  <si>
    <t>куб.м/год</t>
  </si>
  <si>
    <t>Гкал/год</t>
  </si>
  <si>
    <t>Наименование ресурса</t>
  </si>
  <si>
    <t>ЦЕНА РЕСУРСА</t>
  </si>
  <si>
    <t>АРЕНДА ЗЕМЕЛЬНЫХ УЧАСТКОВ, ЗАПРАШИВАЕМЫХ В РАМКАХ ПРИОРИТЕТНОГО ПРОЕКТА</t>
  </si>
  <si>
    <t>ПРОЧИЕ ОПЕРАЦИОННЫЕ РАСХОДЫ</t>
  </si>
  <si>
    <t>тыс.руб./год</t>
  </si>
  <si>
    <t>Наименование вида расходов</t>
  </si>
  <si>
    <t>ОБЪЕМ ПОТРЕБЛЕНИЯ РЕСУРСОВ</t>
  </si>
  <si>
    <t>Участок 1</t>
  </si>
  <si>
    <t>Участок 2</t>
  </si>
  <si>
    <t>Участок 3</t>
  </si>
  <si>
    <t>Наименование направления расходов</t>
  </si>
  <si>
    <t>ИТОГО</t>
  </si>
  <si>
    <t>ИНВЕСТИЦИОННЫЕ РАСХОДЫ С НДС</t>
  </si>
  <si>
    <t>БЫСТРЫЙ ПЕРЕХОД К ПУНКТАМ ДАННОГО ЛИСТА</t>
  </si>
  <si>
    <t>Общая информация</t>
  </si>
  <si>
    <t>Макроэкономические предпосылки</t>
  </si>
  <si>
    <t>Операционные расходы</t>
  </si>
  <si>
    <t>Инвестиции</t>
  </si>
  <si>
    <t>Финансирование</t>
  </si>
  <si>
    <t>Налоговое окружение</t>
  </si>
  <si>
    <t>Заемные средства (коммерческий кредит)</t>
  </si>
  <si>
    <t>Наименование источника финансирования</t>
  </si>
  <si>
    <t>ФИНАНСИРОВАНИЕ ИНВЕСТИЦИЙ</t>
  </si>
  <si>
    <t>ФИНАНСИРОВАНИЕ ПРОЕКТА</t>
  </si>
  <si>
    <t>ПАРАМЕТРЫ ЗАЕМНОГО ФИНАНСИРОВАНИЯ</t>
  </si>
  <si>
    <t>год</t>
  </si>
  <si>
    <t>НАЛОГОВЫЙ РЕЖИМ</t>
  </si>
  <si>
    <t>Без учета инфляции</t>
  </si>
  <si>
    <t>Индексация кадастровой стоимости земельного участка</t>
  </si>
  <si>
    <t>РАСХОДЫ НА СЫРЬЕ / МАТЕРИАЛЫ</t>
  </si>
  <si>
    <t>ЦЕНА ЕДИНИЦЫ СЫРЬЯ / МАТЕРИАЛА</t>
  </si>
  <si>
    <t>РАСХОДЫ НА РЕСУРСЫ</t>
  </si>
  <si>
    <t>СРЕДНЯЯ ЗАРАБОТНАЯ ПЛАТА 1 СОТРУДНИКА</t>
  </si>
  <si>
    <t>ФОНД ОПЛАТЫ ТРУДА</t>
  </si>
  <si>
    <t>РАСПРЕДЕЛЕНИЕ ИНВЕСТИЦИОННЫХ РАСХОДОВ НА АМОРТИЗАЦИОННЫЕ ГРУППЫ</t>
  </si>
  <si>
    <t>Год оформления в аренду</t>
  </si>
  <si>
    <t>Да</t>
  </si>
  <si>
    <t>Среднемесячная заработная плата работников, трудоустроенных в результате реализации инвест.проекта, должна быть не ниже уровня среднемесячной заработной платы по соответствующему виду экономической деятельности.</t>
  </si>
  <si>
    <t>Среднемесячная заработная плата в муниципальных образованиях Пермского  края определяются по данным территориального органа федерального органа, осуществляющего статистический учет на 01 января года, предшествующего году, в котором инициатор направляет заявительные документы.</t>
  </si>
  <si>
    <t>Итоговое значение с учетом добавленной инфляции:</t>
  </si>
  <si>
    <t>РАСЧЕТ ИНВЕСТИЦИОННЫХ РАСХОДОВ</t>
  </si>
  <si>
    <t>ИНВЕСТИЦИОННЫЕ РАСХОДЫ БЕЗ НДС</t>
  </si>
  <si>
    <t>АМОРТИЗАЦИЯ НАЧИСЛЕННАЯ</t>
  </si>
  <si>
    <t>АМОРТИЗАЦИЯ НАКОПЛЕННАЯ</t>
  </si>
  <si>
    <t>ОСТАТОЧНАЯ СТОИМОСТЬ (НА КОНЕЦ ГОДА)</t>
  </si>
  <si>
    <t>Заемные средства (льготный кредит - ФРМ и др.)</t>
  </si>
  <si>
    <t>Привлечение кредита</t>
  </si>
  <si>
    <t>Кредит 1. Коммерческий кредит</t>
  </si>
  <si>
    <t>Кредит 2. Льготный кредит</t>
  </si>
  <si>
    <t>ПРИВЛЕЧЕНИЕ ЗАЕМНОГО ФИНАНСИРОВАНИЯ</t>
  </si>
  <si>
    <t>КРЕДИТ 1. КОММЕРЧЕСКИЙ КРЕДИТ</t>
  </si>
  <si>
    <t>Параметры кредита</t>
  </si>
  <si>
    <t>Схема погашения кредита</t>
  </si>
  <si>
    <t>Наименование источника</t>
  </si>
  <si>
    <t>КРЕДИТ 2. ЛЬГОТНЫЙ КРЕДИТ</t>
  </si>
  <si>
    <t>Год погашения (выплаты) кредита</t>
  </si>
  <si>
    <t>Начало погашения кредита</t>
  </si>
  <si>
    <t>Окончание погашения кредита</t>
  </si>
  <si>
    <t>Заемные средства (льготный кредит)</t>
  </si>
  <si>
    <t>ЗЕМЕЛЬНЫЕ УЧАСТКИ В СОБСТВЕННОСТИ (ПОД РЕАЛИЗАЦИЮ ДАННОГО ПРОЕКТА)</t>
  </si>
  <si>
    <t>РАСЧЕТ НАЛОГОВ</t>
  </si>
  <si>
    <t>НАЛОГ НА НЕДВИЖИМОЕ ИМУЩЕСТВО</t>
  </si>
  <si>
    <t>НАЛОГ НА ПРИБЫЛЬ</t>
  </si>
  <si>
    <t>Ставка УСН, доходы</t>
  </si>
  <si>
    <t>Операционные расходы, облагаемые НДС</t>
  </si>
  <si>
    <t>Инвестиционные расходы, облагаемые НДС</t>
  </si>
  <si>
    <t>Доходы</t>
  </si>
  <si>
    <t>Налогооблагаемая база</t>
  </si>
  <si>
    <t>НАЛОГ УСН "ДОХОДЫ"</t>
  </si>
  <si>
    <t>НАЛОГ УСН "ДОХОДЫ-РАСХОДЫ"</t>
  </si>
  <si>
    <t>ЗАПАСЫ</t>
  </si>
  <si>
    <t>Поступление средств от продаж</t>
  </si>
  <si>
    <t>доля</t>
  </si>
  <si>
    <t>срок, дн.</t>
  </si>
  <si>
    <t>немедленная оплата</t>
  </si>
  <si>
    <t>продажи с предоплатой</t>
  </si>
  <si>
    <t>авансовая оплата</t>
  </si>
  <si>
    <t>Сумма счетов к оплате</t>
  </si>
  <si>
    <t>Сумма уплаченных авансов</t>
  </si>
  <si>
    <t>РАСЧЕТ ЧИСТОГО ОБОРОТНОГО КАПИТАЛА</t>
  </si>
  <si>
    <t>Изменение чистого оборотного капитала</t>
  </si>
  <si>
    <t>Льготная ставка аренды для "приоритетного проекта" (3 года)</t>
  </si>
  <si>
    <t>выбрать вариант</t>
  </si>
  <si>
    <t>НДС к уплате в бюджет/возмещению из бюджета</t>
  </si>
  <si>
    <t>Величина транспортного налога</t>
  </si>
  <si>
    <t>НАЛОГИ (С УЧЕТОМ ЛЬГОТ)</t>
  </si>
  <si>
    <t>ТРАНСПОРТНЫЙ НАЛОГ</t>
  </si>
  <si>
    <t>Величина налога</t>
  </si>
  <si>
    <t>ЗЕМЕЛЬНЫЕ УЧАСТКИ, ПЛАНИРУЕМЫЕ К ОФОРМЛЕНИЮ В АРЕНДУ</t>
  </si>
  <si>
    <t>Правообладатель земельного участка</t>
  </si>
  <si>
    <t>Прибыль (убыток) от продаж</t>
  </si>
  <si>
    <t>Проценты к уплате</t>
  </si>
  <si>
    <t>Чистая прибыль (убыток)</t>
  </si>
  <si>
    <t>ЗНАЧЕНИЯ БЕЗ НДС</t>
  </si>
  <si>
    <t>Ресурсы (электроэнергия, водо-, тепло-, газоснабжение, водоотведение)</t>
  </si>
  <si>
    <t>Сырье/материалы</t>
  </si>
  <si>
    <t>ФОТ</t>
  </si>
  <si>
    <t>Аренда земельных участков</t>
  </si>
  <si>
    <t>Себестоимость и операционные расходы</t>
  </si>
  <si>
    <t>Прочие операционные расходы</t>
  </si>
  <si>
    <t>EBITDA / Выручка, %</t>
  </si>
  <si>
    <t>EBIT / Выручка, %</t>
  </si>
  <si>
    <t>ОПЕРАЦИОННЫЙ ДЕНЕЖНЫЙ ПОТОК</t>
  </si>
  <si>
    <t>ИНВЕСТИЦИОННЫЙ ДЕНЕЖНЫЙ ПОТОК</t>
  </si>
  <si>
    <t>ФИНАНСОВЫЙ ДЕНЕЖНЫЙ ПОТОК</t>
  </si>
  <si>
    <t>БЮДЖЕТ ДВИЖЕНИЯ ДЕНЕЖНЫХ СРЕДСТВ</t>
  </si>
  <si>
    <t>Выручка от реализации продукции/оказания услуг</t>
  </si>
  <si>
    <t>Чистый оборотный капитал</t>
  </si>
  <si>
    <t>Операционные денежный поток</t>
  </si>
  <si>
    <t>Инвестиционный денежный поток</t>
  </si>
  <si>
    <t>Финансовый денежный поток</t>
  </si>
  <si>
    <t>СТАВКА ДИСКОНТИРОВАНИЯ</t>
  </si>
  <si>
    <t>ПОКАЗАТЕЛИ ЭФФЕКТИВНОСТИ</t>
  </si>
  <si>
    <t>РАСЧЕТ СВОБОДНОГО ДЕНЕЖНОГО ПОТОКА</t>
  </si>
  <si>
    <t>РАСЧЕТ ДИСКОНТИРОВАННОГО FCFF</t>
  </si>
  <si>
    <t>Собственные средства</t>
  </si>
  <si>
    <t>Среднее время хранения сырья / материалов</t>
  </si>
  <si>
    <t>Среднее время хранения готовой продукции</t>
  </si>
  <si>
    <t>Запасы готовой продукции</t>
  </si>
  <si>
    <t>Сумма полученных авансов</t>
  </si>
  <si>
    <t>Сумма счетов к получению</t>
  </si>
  <si>
    <t>РАСЧЕТЫ С ПОКУПАТЕЛЯМИ</t>
  </si>
  <si>
    <t>РАСЧЕТ</t>
  </si>
  <si>
    <t>РАСЧЕТЫ С ПОСТАВЩИКАМИ</t>
  </si>
  <si>
    <t>Затраты на сырье / материалы</t>
  </si>
  <si>
    <t>Затраты на готовую продукцию</t>
  </si>
  <si>
    <t>Расходы на материалы и сырье</t>
  </si>
  <si>
    <t>Запасы сырья / материалов</t>
  </si>
  <si>
    <t>Оборотный капитал</t>
  </si>
  <si>
    <t>Оплата сырья / материалов</t>
  </si>
  <si>
    <t>Запасы</t>
  </si>
  <si>
    <t>Поступление средств от расчетов с покупателями</t>
  </si>
  <si>
    <t xml:space="preserve">ЗАПАСЫ, ДЕБИТОРСКАЯ И КРЕДИТОРСКАЯ ЗАДОЛЖЕННОСТЬ </t>
  </si>
  <si>
    <t>Расчеты с поставщиками (оплата сырья / материалов)</t>
  </si>
  <si>
    <t>дн.</t>
  </si>
  <si>
    <t>кадастровая стоимость</t>
  </si>
  <si>
    <t>Ставка УСН, доходы-расходы</t>
  </si>
  <si>
    <t>Текущие активы</t>
  </si>
  <si>
    <t>Текущие обязательства</t>
  </si>
  <si>
    <t>Облагается НДС ?</t>
  </si>
  <si>
    <t>облагается НДС ?</t>
  </si>
  <si>
    <t>Необходимо указать налоговый режим компании-инициатора проекта</t>
  </si>
  <si>
    <t>СТАВКИ</t>
  </si>
  <si>
    <t>Налог УСН, доходы</t>
  </si>
  <si>
    <t>Налог УСН, доходы-расходы</t>
  </si>
  <si>
    <t>Расходы</t>
  </si>
  <si>
    <t>База по расчету налога</t>
  </si>
  <si>
    <t>База по расчету налога с учетом убытков</t>
  </si>
  <si>
    <t>Минимальная ставка УСН, доходы-расходы (правило минимального налога)</t>
  </si>
  <si>
    <t>Минимальный налог</t>
  </si>
  <si>
    <t>Критерий</t>
  </si>
  <si>
    <t>Проверка</t>
  </si>
  <si>
    <t>п. 1.7.5. ст. 1 Постановления № 1721-п от 06.12.13 в ред. от 11.12.20</t>
  </si>
  <si>
    <t>Смотреть значение</t>
  </si>
  <si>
    <t>Необходимо выбрать: инвестиции указаны с инфляцией или без инфляции</t>
  </si>
  <si>
    <t>Средняя з/п работников не ниже уровня  з/п в муниципалитете по виду деятельности</t>
  </si>
  <si>
    <t>КОЛИЧЕСТВО ПОСТОЯННЫХ РАБОЧИХ МЕСТ, СОЗДАВАЕМЫХ В РЕЗУЛЬТАТЕ РЕАЛИЗАЦИИ ПРОЕКТА, ПО ГОДАМ</t>
  </si>
  <si>
    <t>СРОКИ РЕАЛИЗАЦИИ ПРОЕКТА</t>
  </si>
  <si>
    <t>БЮДЖЕТ ДОХОДОВ И РАСХОДОВ</t>
  </si>
  <si>
    <t>Капитальные расходы</t>
  </si>
  <si>
    <t>Капитализированные операционные расходы</t>
  </si>
  <si>
    <t>Учет процентов</t>
  </si>
  <si>
    <t>Капитализируемые проценты</t>
  </si>
  <si>
    <t>Проценты, относимые на операционные расходы</t>
  </si>
  <si>
    <t>Начало реализации проекта – начало финансирования работ</t>
  </si>
  <si>
    <t>Окончание реализации проекта</t>
  </si>
  <si>
    <t>Капитализированные проценты</t>
  </si>
  <si>
    <t>РАСЧЕТ FCFF</t>
  </si>
  <si>
    <t>Денежный поток от инвестиционной деятельности CFI</t>
  </si>
  <si>
    <t>Денежный поток от операционной деятельности CFO</t>
  </si>
  <si>
    <t>Проценты по кредиту на операционной стадии</t>
  </si>
  <si>
    <t>Руководитель
ФИО, контактный телефон, email</t>
  </si>
  <si>
    <t>Контактное лицо
инициатора инвестиционного проекта 
ФИО, контактный телефон, email</t>
  </si>
  <si>
    <t>Дивиденды, в том числе</t>
  </si>
  <si>
    <t>Госпошлина, в том числе</t>
  </si>
  <si>
    <t>доля, %</t>
  </si>
  <si>
    <t>Среднемесячная заработная плата в расчетах финансовой модели</t>
  </si>
  <si>
    <t>ПФР</t>
  </si>
  <si>
    <t>ФСС</t>
  </si>
  <si>
    <t>ИТОГО ставка</t>
  </si>
  <si>
    <t>ПРОЧИЕ ОПЕРАЦИОННЫЕ РАСХОДЫ *</t>
  </si>
  <si>
    <t>продажи в рассрочку</t>
  </si>
  <si>
    <t>оплата в рассрочку</t>
  </si>
  <si>
    <t>Нет</t>
  </si>
  <si>
    <t>Не амортизируется</t>
  </si>
  <si>
    <r>
      <t xml:space="preserve">Проценты на инвест.стадии </t>
    </r>
    <r>
      <rPr>
        <i/>
        <sz val="11"/>
        <color theme="0" tint="-0.499984740745262"/>
        <rFont val="Calibri"/>
        <family val="2"/>
      </rPr>
      <t>(рассчитываются автоматически)</t>
    </r>
  </si>
  <si>
    <t>Прибыль (убыток) до налогообложения</t>
  </si>
  <si>
    <t>Проценты по кредиту на операционной стадии (без налога)</t>
  </si>
  <si>
    <t>Из расчетов</t>
  </si>
  <si>
    <t>Разница</t>
  </si>
  <si>
    <t>СТОИМОСТЬ СОБСТВЕННОГО КАПИТАЛА</t>
  </si>
  <si>
    <t>СТОИМОСТЬ ЗАЕМНОГО КАПИТАЛА</t>
  </si>
  <si>
    <t>ПРЕДПОСЫЛКИ ПО РАСЧЕТУ СТАВКИ ДИСКОНТИРОВАНИЯ</t>
  </si>
  <si>
    <t>Стоимость собственного капитала</t>
  </si>
  <si>
    <t>в ценах текущего года с НДС</t>
  </si>
  <si>
    <t>в ценах тек. года до вычета НДФЛ</t>
  </si>
  <si>
    <t>Запасы, дебиторская и кредиторская задолженность</t>
  </si>
  <si>
    <t>Предпосылки по расчету ставки дисконтирования</t>
  </si>
  <si>
    <t>ПРОВЕРКА УКАЗАННЫХ ДАННЫХ</t>
  </si>
  <si>
    <t>Проверка указанных данных</t>
  </si>
  <si>
    <t>Beta. Industry name - …........ *</t>
  </si>
  <si>
    <t>ПЕРВОНАЧАЛЬНАЯ СТОИМОСТЬ</t>
  </si>
  <si>
    <t>Указан год начала и окончания реализации проекта</t>
  </si>
  <si>
    <t>ИНСТРУКЦИЯ</t>
  </si>
  <si>
    <r>
      <t>Листы «</t>
    </r>
    <r>
      <rPr>
        <b/>
        <sz val="11"/>
        <color theme="4" tint="-0.249977111117893"/>
        <rFont val="Calibri"/>
        <family val="2"/>
        <charset val="204"/>
        <scheme val="minor"/>
      </rPr>
      <t>Доходы и расходы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Инвестиции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Финансирование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Налоги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Оборотный капитал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БДР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БДДС</t>
    </r>
    <r>
      <rPr>
        <sz val="11"/>
        <color theme="4" tint="-0.249977111117893"/>
        <rFont val="Calibri"/>
        <family val="2"/>
        <scheme val="minor"/>
      </rPr>
      <t>», «</t>
    </r>
    <r>
      <rPr>
        <b/>
        <sz val="11"/>
        <color theme="4" tint="-0.249977111117893"/>
        <rFont val="Calibri"/>
        <family val="2"/>
        <charset val="204"/>
        <scheme val="minor"/>
      </rPr>
      <t>Результаты</t>
    </r>
    <r>
      <rPr>
        <sz val="11"/>
        <color theme="4" tint="-0.249977111117893"/>
        <rFont val="Calibri"/>
        <family val="2"/>
        <scheme val="minor"/>
      </rPr>
      <t xml:space="preserve">» являются расчетными и содержат только формулы и ссылки на другие ячейки – </t>
    </r>
    <r>
      <rPr>
        <b/>
        <sz val="11"/>
        <color rgb="FF002060"/>
        <rFont val="Calibri"/>
        <family val="2"/>
        <charset val="204"/>
        <scheme val="minor"/>
      </rPr>
      <t xml:space="preserve">в них </t>
    </r>
    <r>
      <rPr>
        <b/>
        <sz val="11"/>
        <color rgb="FF002060"/>
        <rFont val="Calibri"/>
        <family val="2"/>
        <scheme val="minor"/>
      </rPr>
      <t>отсутствует «ручной» ввод данных</t>
    </r>
    <r>
      <rPr>
        <sz val="11"/>
        <color theme="4" tint="-0.249977111117893"/>
        <rFont val="Calibri"/>
        <family val="2"/>
        <scheme val="minor"/>
      </rPr>
      <t xml:space="preserve">. </t>
    </r>
  </si>
  <si>
    <r>
      <t>Вся входящая информация по проекту содержится на листе «</t>
    </r>
    <r>
      <rPr>
        <b/>
        <sz val="11"/>
        <color theme="4" tint="-0.249977111117893"/>
        <rFont val="Calibri"/>
        <family val="2"/>
        <charset val="204"/>
        <scheme val="minor"/>
      </rPr>
      <t>Предпосылки</t>
    </r>
    <r>
      <rPr>
        <sz val="11"/>
        <color theme="4" tint="-0.249977111117893"/>
        <rFont val="Calibri"/>
        <family val="2"/>
        <scheme val="minor"/>
      </rPr>
      <t xml:space="preserve">» - данный лист предназначен для Пользователя и предполагает </t>
    </r>
    <r>
      <rPr>
        <b/>
        <sz val="11"/>
        <color rgb="FF002060"/>
        <rFont val="Calibri"/>
        <family val="2"/>
        <charset val="204"/>
        <scheme val="minor"/>
      </rPr>
      <t>внесение данных в следующие ячейки:</t>
    </r>
  </si>
  <si>
    <r>
      <t xml:space="preserve">При необходимости </t>
    </r>
    <r>
      <rPr>
        <b/>
        <sz val="11"/>
        <color rgb="FF002060"/>
        <rFont val="Calibri"/>
        <family val="2"/>
        <scheme val="minor"/>
      </rPr>
      <t>внести и изменить данные</t>
    </r>
    <r>
      <rPr>
        <sz val="11"/>
        <color theme="4" tint="-0.249977111117893"/>
        <rFont val="Calibri"/>
        <family val="2"/>
        <scheme val="minor"/>
      </rPr>
      <t xml:space="preserve"> по проекту Пользователь работает с листом «</t>
    </r>
    <r>
      <rPr>
        <b/>
        <sz val="11"/>
        <color theme="4" tint="-0.249977111117893"/>
        <rFont val="Calibri"/>
        <family val="2"/>
        <charset val="204"/>
        <scheme val="minor"/>
      </rPr>
      <t>Предпосылки</t>
    </r>
    <r>
      <rPr>
        <sz val="11"/>
        <color theme="4" tint="-0.249977111117893"/>
        <rFont val="Calibri"/>
        <family val="2"/>
        <scheme val="minor"/>
      </rPr>
      <t xml:space="preserve">». При изменении информации на данном листе </t>
    </r>
    <r>
      <rPr>
        <b/>
        <sz val="11"/>
        <color rgb="FF002060"/>
        <rFont val="Calibri"/>
        <family val="2"/>
        <scheme val="minor"/>
      </rPr>
      <t>остальные листы автоматически пересчитываются</t>
    </r>
    <r>
      <rPr>
        <sz val="11"/>
        <color theme="4" tint="-0.249977111117893"/>
        <rFont val="Calibri"/>
        <family val="2"/>
        <scheme val="minor"/>
      </rPr>
      <t>.</t>
    </r>
  </si>
  <si>
    <t>* за исключением арендных платежей за земельные участки и налоговых расходов (рассчитываются автоматически на основе указанных данных)</t>
  </si>
  <si>
    <t>Выручка указана после ввода объекта в эксплуатацию</t>
  </si>
  <si>
    <t>Сумма налоговых поступлений</t>
  </si>
  <si>
    <t>Сумма неналоговых поступлений</t>
  </si>
  <si>
    <t>Итого сумма налоговых и неналоговых поступлений</t>
  </si>
  <si>
    <t>Итого налоговых и неналоговых поступлений</t>
  </si>
  <si>
    <r>
      <t>Если информация не применима к проекту, то ячейки</t>
    </r>
    <r>
      <rPr>
        <b/>
        <sz val="11"/>
        <color rgb="FF002060"/>
        <rFont val="Calibri"/>
        <family val="2"/>
        <charset val="204"/>
        <scheme val="minor"/>
      </rPr>
      <t xml:space="preserve"> могут</t>
    </r>
    <r>
      <rPr>
        <sz val="11"/>
        <color theme="4" tint="-0.249977111117893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</rPr>
      <t>оставаться пустыми</t>
    </r>
    <r>
      <rPr>
        <sz val="11"/>
        <color theme="4" tint="-0.249977111117893"/>
        <rFont val="Calibri"/>
        <family val="2"/>
        <scheme val="minor"/>
      </rPr>
      <t>.</t>
    </r>
  </si>
  <si>
    <t>* необходимо выбрать в источнике в соответствии с отраслью (лист "Industry Averages", столбец C - "Beta")</t>
  </si>
  <si>
    <t>Количество месяцев в году</t>
  </si>
  <si>
    <t>ТЕХНИЧЕСКИЕ ПОКАЗАТЕЛИ</t>
  </si>
  <si>
    <t>Количество дней в году</t>
  </si>
  <si>
    <t>Технические показатели</t>
  </si>
  <si>
    <r>
      <t>Среднемесячная заработная плата в муниципалитете (согласно Пермьстату, сборник "</t>
    </r>
    <r>
      <rPr>
        <sz val="11"/>
        <color theme="4" tint="-0.249977111117893"/>
        <rFont val="Calibri"/>
        <family val="2"/>
      </rPr>
      <t>Пермский край в цифрах</t>
    </r>
    <r>
      <rPr>
        <sz val="11"/>
        <rFont val="Calibri"/>
        <family val="2"/>
        <scheme val="minor"/>
      </rPr>
      <t>")</t>
    </r>
  </si>
  <si>
    <t>ФОМС</t>
  </si>
  <si>
    <t>ФСС, травматизм</t>
  </si>
  <si>
    <t>Сумма источников финансирования не меньше суммы инвестиций</t>
  </si>
  <si>
    <t>финансирование инвестиционных расходов (без процентов по кредиту)</t>
  </si>
  <si>
    <t>В случае, если инвестиции указаны без инфляции, то на листе "Инвестиции" данная сумма будет пересчитана с учетом указанной в строке 25 данного листа инфляции.</t>
  </si>
  <si>
    <r>
      <rPr>
        <b/>
        <sz val="11"/>
        <color rgb="FF002060"/>
        <rFont val="Calibri"/>
        <family val="2"/>
      </rPr>
      <t>Количество строк</t>
    </r>
    <r>
      <rPr>
        <sz val="11"/>
        <color theme="4" tint="-0.249977111117893"/>
        <rFont val="Calibri"/>
        <family val="2"/>
        <scheme val="minor"/>
      </rPr>
      <t xml:space="preserve"> в данном шаблоне </t>
    </r>
    <r>
      <rPr>
        <b/>
        <sz val="11"/>
        <color rgb="FF002060"/>
        <rFont val="Calibri"/>
        <family val="2"/>
        <scheme val="minor"/>
      </rPr>
      <t>не подлежит изменению</t>
    </r>
    <r>
      <rPr>
        <sz val="11"/>
        <color theme="4" tint="-0.249977111117893"/>
        <rFont val="Calibri"/>
        <family val="2"/>
        <scheme val="minor"/>
      </rPr>
      <t>.</t>
    </r>
  </si>
  <si>
    <t>Указанные налоговые ставки соответствуют выбранному режиму налогообложения</t>
  </si>
  <si>
    <t>кв.м</t>
  </si>
  <si>
    <t>Наименование структурного подразделения / должности</t>
  </si>
  <si>
    <t>Собственные средства:</t>
  </si>
  <si>
    <r>
      <t xml:space="preserve">финансирование процентов по кредиту </t>
    </r>
    <r>
      <rPr>
        <sz val="11"/>
        <color theme="0" tint="-0.499984740745262"/>
        <rFont val="Calibri"/>
        <family val="2"/>
        <charset val="204"/>
        <scheme val="minor"/>
      </rPr>
      <t>(</t>
    </r>
    <r>
      <rPr>
        <sz val="11"/>
        <color theme="0" tint="-0.499984740745262"/>
        <rFont val="Calibri"/>
        <family val="2"/>
        <charset val="204"/>
      </rPr>
      <t>необходимо вручную указать значение строки 284 (после заполнения инф.о кредите</t>
    </r>
    <r>
      <rPr>
        <sz val="11"/>
        <color theme="0" tint="-0.499984740745262"/>
        <rFont val="Calibri"/>
        <family val="2"/>
        <charset val="204"/>
        <scheme val="minor"/>
      </rPr>
      <t>)</t>
    </r>
  </si>
  <si>
    <t>Ставка земельного налога</t>
  </si>
  <si>
    <t>ЗЕМЕЛЬНЫЙ НАЛОГ</t>
  </si>
  <si>
    <t>год приобретения</t>
  </si>
  <si>
    <r>
      <t xml:space="preserve">Операционные расходы на инвест.стадии до получения выручки </t>
    </r>
    <r>
      <rPr>
        <i/>
        <sz val="11"/>
        <color theme="0" tint="-0.499984740745262"/>
        <rFont val="Calibri"/>
        <family val="2"/>
        <charset val="204"/>
      </rPr>
      <t>(рассчитываются автоматически)</t>
    </r>
  </si>
  <si>
    <t>ОБЪЕМ ПРОИЗВОДСТВА ПРОДУКЦИИ / ПРЕДОСТАВЛЕНИЯ УСЛУГ (В НАТУРАЛЬНЫХ ЕДИНИЦАХ: ШТ, КГ, КВ.М И Т.Д.)</t>
  </si>
  <si>
    <t>Есть льгота</t>
  </si>
  <si>
    <t>Период дисконтирования</t>
  </si>
  <si>
    <t>Показатель инвестиционной стадии (или до начала получения выручки)</t>
  </si>
  <si>
    <t>Показатель операционной стадии (или после начала получения выручки)</t>
  </si>
  <si>
    <t>НДС к уплате/возмещению</t>
  </si>
  <si>
    <t>Отсутствуют отрицательные остатки денежных средств</t>
  </si>
  <si>
    <t>Срок полезного использования</t>
  </si>
  <si>
    <t>Коэффициент индексации арендной платы</t>
  </si>
  <si>
    <t>Земли населенных пунктов</t>
  </si>
  <si>
    <t>Индексация кадастровой стоимости земельных участков (раз в 4 года)</t>
  </si>
  <si>
    <t>ЗК РФ Статья 7. Состав земель в Российской Федерации.</t>
  </si>
  <si>
    <t>1. Земли в Российской Федерации по целевому назначению подразделяются на следующие категории:</t>
  </si>
  <si>
    <t>Категория земель</t>
  </si>
  <si>
    <t>Ставка аренды земельного участка (после льготного периода)</t>
  </si>
  <si>
    <t xml:space="preserve">Ставка аренды земельного участка </t>
  </si>
  <si>
    <r>
      <rPr>
        <b/>
        <sz val="11"/>
        <color rgb="FFFF0000"/>
        <rFont val="Calibri"/>
        <family val="2"/>
        <charset val="204"/>
      </rPr>
      <t>Примечание 2:</t>
    </r>
    <r>
      <rPr>
        <sz val="11"/>
        <rFont val="Calibri"/>
        <family val="2"/>
        <scheme val="minor"/>
      </rPr>
      <t xml:space="preserve"> при выборе категории земель поставить цифру подпункта категории земель, к которому относится земельный участок</t>
    </r>
  </si>
  <si>
    <t>См. прим. 1</t>
  </si>
  <si>
    <t>См. прим. 2</t>
  </si>
  <si>
    <t>• В случае, если правообладателем земельного участка является муниципальное образование, то необходимо смотреть актуальные редакции НПА об установлении арендной платы земельных участков, которые планируются к получению без торгов.</t>
  </si>
  <si>
    <t>• В случае, если правообладателем земельного участка является Пермский край или земельный участок относится к земельным участкам, государственная собственность на который не разграничена, требуется выбрать арендную ставку в соответствии с Законом Пермского края от 7 апреля 2010 года № 604-ПК.</t>
  </si>
  <si>
    <t>• В случае, если правообладателем земельного участка является Российская Федерация, арендные ставки определяются в соответствии с Постановление Правительства РФ от 16.07.2009 N 582 в актуальной редакции.</t>
  </si>
  <si>
    <t>Коэффициент индексации арендной платы для земель населенных пунктов</t>
  </si>
  <si>
    <t>Предполагаемая долгосрочная инфляция</t>
  </si>
  <si>
    <t>&lt;&lt;&lt; необходимо заполнить</t>
  </si>
  <si>
    <t>Земли сельскохозяйственного назначения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</si>
  <si>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</si>
  <si>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</si>
  <si>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лесного фонда</t>
  </si>
  <si>
    <t>Земли водного фонда</t>
  </si>
  <si>
    <t>Земли запаса</t>
  </si>
  <si>
    <r>
      <rPr>
        <b/>
        <sz val="11"/>
        <color rgb="FFFF0000"/>
        <rFont val="Calibri"/>
        <family val="2"/>
        <charset val="204"/>
      </rPr>
      <t>Примечание 1:</t>
    </r>
    <r>
      <rPr>
        <sz val="11"/>
        <rFont val="Calibri"/>
        <family val="2"/>
        <scheme val="minor"/>
      </rPr>
      <t xml:space="preserve"> ставка арендной платы устанавливается в соответствии с законодательством муниципального образования, Пермского края и Российской Федерации. Аредная ставка устанавливается после целевого ВРИ, требующего для реализации Проекта.
</t>
    </r>
  </si>
  <si>
    <t>Коэффициент индексации арендной платы для земель вне населенных пунктов</t>
  </si>
  <si>
    <t>&lt;&lt;&lt;</t>
  </si>
  <si>
    <t>Найм новых сотрудников происходит в сроки реализации проекта</t>
  </si>
  <si>
    <t>Предполагается создание новых рабочих мест в результате реализации Проекта?</t>
  </si>
  <si>
    <t>СРОКИ НАЙМА СОТРУДНИКОВ</t>
  </si>
  <si>
    <t>Начало найма</t>
  </si>
  <si>
    <t>Окончание найма</t>
  </si>
  <si>
    <t>Группа затрат 
(куда будет капитализироваться)</t>
  </si>
  <si>
    <t>Год ввода 
в экспулатацию</t>
  </si>
  <si>
    <t>Год ввода</t>
  </si>
  <si>
    <t>Квартал ввода</t>
  </si>
  <si>
    <t>Первоначальная стоимость</t>
  </si>
  <si>
    <t>Кв. ввода в 
эксплуатацию</t>
  </si>
  <si>
    <t xml:space="preserve">&lt;&lt;&lt; год, квартал, когда ОС (имущество) встанет на баланс предприятия 
</t>
  </si>
  <si>
    <t>(инвестиционный проект)</t>
  </si>
  <si>
    <t>(инициатор инвестиционного проекта)</t>
  </si>
  <si>
    <t>Содержание / Значение</t>
  </si>
  <si>
    <t>Информация об инициаторе инвестиционного проекта</t>
  </si>
  <si>
    <t>Инициатор инвестиционного проекта</t>
  </si>
  <si>
    <t>Наименование</t>
  </si>
  <si>
    <t>Организационно-правовая форма</t>
  </si>
  <si>
    <t>ИНН</t>
  </si>
  <si>
    <t>Адрес местонахождения</t>
  </si>
  <si>
    <t>Наличие обособленного подразделения инициатора инвестиционного проекта на территории Пермского края (или подтверждение намерений по их созданию)</t>
  </si>
  <si>
    <t>Сведения об инвестиционном проекте</t>
  </si>
  <si>
    <t>Описание инвестиционного проекта (производимый в результате реализации проекта продукт/создаваемый объект, в случае если реализуется проект по модернизации производства, указываются данные о росте производительности/ эффективности производства)</t>
  </si>
  <si>
    <t>Место реализации инвестиционного проекта с указанием муниципального образования Пермского края</t>
  </si>
  <si>
    <t xml:space="preserve">Общий объем инвестиций, млн рублей </t>
  </si>
  <si>
    <t>Количество создаваемых новых рабочих мест по итогам реализации инвестиционного проекта по годам реализации проекта</t>
  </si>
  <si>
    <t>Сроки реализации инвестиционного проекта (инвестиционная стадия) гггг – гггг</t>
  </si>
  <si>
    <t>Создаваемые объекты общественной / транспортной инфраструктуры (при наличии)</t>
  </si>
  <si>
    <t>Не менее 15 процентов полной стоимости инвестиционного проекта финансируется инициатором инвестиционного проекта за счет собственных средств</t>
  </si>
  <si>
    <t xml:space="preserve">Планируемые документы-подтверждения наличия собственных средств для финансирования проекта </t>
  </si>
  <si>
    <t>Планируемые к получению меры государственной поддержки</t>
  </si>
  <si>
    <t>Административное сопровождение инвестиционного проекта</t>
  </si>
  <si>
    <t>Региональный инвестиционный проект &lt;*&gt;</t>
  </si>
  <si>
    <t>Планируемые налоговые поступления от реализации инвестиционного проекта суммарно за 10 лет</t>
  </si>
  <si>
    <t>Информация о земельном участке (земельных участках), на котором планируется реализация или реализуется инвестиционный проект &lt;**&gt;</t>
  </si>
  <si>
    <t>Кадастровый номер или кадастровый квартал (в случае необходимости образования земельного участка из земель, государственная собственность на которые не разграничена)</t>
  </si>
  <si>
    <t>Адрес / местоположение</t>
  </si>
  <si>
    <t>Площадь / либо ориентировочная площадь (в случае необходимости образования земельного участка из земель, государственная собственность на которые не разграничена), кв. м.</t>
  </si>
  <si>
    <t>Аренда без торгов</t>
  </si>
  <si>
    <t>Собственность</t>
  </si>
  <si>
    <t>Аренда</t>
  </si>
  <si>
    <t>Другое ____________________</t>
  </si>
  <si>
    <t>Дополнительная информация</t>
  </si>
  <si>
    <t>Заключительные положения:</t>
  </si>
  <si>
    <t>Подтверждаю достоверность и актуальность информации, представленной в составе настоящей заявки, в том числе исходных данных и результирующих показателей финансовой модели, включая уровень плановых налоговых и неналоговых отчислений в бюджет.</t>
  </si>
  <si>
    <t>Подтверждаю отсутствие задолженности по выплате заработной платы работникам инициатора инвестиционного проекта.</t>
  </si>
  <si>
    <t>Обязуюсь предоставить сведения об изменениях либо отклонениях параметров инвестиционного проекта от плановых.</t>
  </si>
  <si>
    <t>Налог на прибыль, подлежащий уплате от реализации инвестиционного проекта</t>
  </si>
  <si>
    <t>Прочие (иные) поступления</t>
  </si>
  <si>
    <t>..., в том числе</t>
  </si>
  <si>
    <t xml:space="preserve">        1. Прогнозные операционные показатели реализации инвестиционного проекта и планируемые налоговые поступления в бюджеты всех уровней бюджетной системы Российской Федерации по форме согласно приложению к настоящей заявке.</t>
  </si>
  <si>
    <t xml:space="preserve">        2. Финансовую модель инвестиционного проекта в формате excel. Финансовая модель инвестиционного проекта позволяет установить входящие данные, предпосылки расчета и порядок расчета инициатором инвестиционного проекта результирующих данных, в том числе поступлений в бюджет от реализации проекта.</t>
  </si>
  <si>
    <t xml:space="preserve">        &lt;*&gt; В случае если инвестиционный проект претендует на включение в реестр региональных инвестиционных проектов инициатор инвестиционного проекта прилагает к заявке:</t>
  </si>
  <si>
    <t xml:space="preserve">        &lt;**&gt; Информация о земельном участке заполняется в отношении каждого из земельных участков, используемых и (или) планируемых к вовлечению для реализации инвестиционного проекта.</t>
  </si>
  <si>
    <t>N п/п</t>
  </si>
  <si>
    <t>1.1.</t>
  </si>
  <si>
    <t>Документ</t>
  </si>
  <si>
    <t>Отметка о наличии</t>
  </si>
  <si>
    <t>Заявка на участие в отборе инвестиционных проектов (по форме для инвестиционных проектов с объемом инвестиций менее 100 млн руб.)</t>
  </si>
  <si>
    <r>
      <t xml:space="preserve">Финансово-экономическая модель и прогнозные операционные показатели реализации инвестиционного проекта и планируемые налоговые поступления в случае, </t>
    </r>
    <r>
      <rPr>
        <b/>
        <sz val="11"/>
        <color theme="1"/>
        <rFont val="Times New Roman"/>
        <family val="1"/>
        <charset val="204"/>
      </rPr>
      <t>если инвестиционный проект претендует на включение  в реестр региональных инвестиционных проектов</t>
    </r>
  </si>
  <si>
    <t>Сведения, подтверждающие наличие у инициатора инвестиционного проекта собственных средств на финансирование инвестиционного проекта в размере не менее 15 процентов от полной стоимости инвестиционного проекта</t>
  </si>
  <si>
    <t>Сопроводительное письмо в двух экземплярах.</t>
  </si>
  <si>
    <t>Заявка и прилагаемые к ней документы могут быть представлены на бумажном носителе и (или) в форме электронного документа с электронной подписью. Заявка и прилагаемые к ней документы, представленные на бумажном носителе, должны быть: заверены подписью руководителя или иного уполномоченного лица (с приложением документов, подтверждающих его полномочия в соответствии с действующим законодательством), а также скреплены печатью инициатора инвестиционного проекта (при наличии). Указанные требования не распространяются на нотариально заверенные копии документов или оригиналы документов, выданные инициатору инвестиционного проекта третьими лицами и подписанные уполномоченными представителями таких лиц; сброшюрованы (или прошиты), пронумерованы и скреплены печатью (при наличии); составлены на русском языке; оформлены с учетом указания сумм денежных средств в российских рублях; выполнены с использованием технических средств, аккуратно, без подчисток, исправлений, помарок, неустановленных сокращений и формулировок, допускающих двоякое толкование; представлены с приложением описи документов с указанием количества страниц по каждому документу. Заявка и прилагаемые к ней документы, представленные инициатором инвестиционного проекта в форме электронного документа с электронной подписью, должны быть представлены в отсканированном виде, позволяющем чтение, без срезов границ текста и нумерации страниц.</t>
  </si>
  <si>
    <t>Овощи</t>
  </si>
  <si>
    <t>т</t>
  </si>
  <si>
    <t xml:space="preserve">Овощи </t>
  </si>
  <si>
    <t>Административный персонал</t>
  </si>
  <si>
    <t>Производственный персонал</t>
  </si>
  <si>
    <t>ЗУ не разграничен</t>
  </si>
  <si>
    <t>59:13:0060111:149</t>
  </si>
  <si>
    <t>Расходы на содержание</t>
  </si>
  <si>
    <t>Коммерческие расходы</t>
  </si>
  <si>
    <t>Связь, интернет, телефония</t>
  </si>
  <si>
    <t>Организационные расходы</t>
  </si>
  <si>
    <t>Транспортные расходы</t>
  </si>
  <si>
    <t>Здания и сооружения</t>
  </si>
  <si>
    <t>Инженерные сети</t>
  </si>
  <si>
    <t>Оборудование</t>
  </si>
  <si>
    <t>Транспорт</t>
  </si>
  <si>
    <t>Дороги</t>
  </si>
  <si>
    <t>HMA</t>
  </si>
  <si>
    <t>Подготовительные расходы (ПИР, СМР)</t>
  </si>
  <si>
    <t>НМА</t>
  </si>
  <si>
    <t>Без инфляции</t>
  </si>
  <si>
    <t xml:space="preserve">
8641643,28</t>
  </si>
  <si>
    <t>доходы-расходы</t>
  </si>
  <si>
    <t>Нет льготы</t>
  </si>
  <si>
    <t>Создание современных складских комплексов для переработки сельскохозяйственной продукции и местных товаропроизводителей. В Бардымском муниципальном округе есть хорошие предпосылки для увеличения производства овощей и улучшения их качества. Однако существуют проблемы нехватки современных складских комплексов и разрозненности связей между местными товаропроизводителями сельскохозяйственной продукции и торговыми сетями. 
Главной тенденцией социально-экономической политики округа, становится переработка сельхозсырья с добавленной стоимостью, которая будет максимально оставаться у агропроизводителей. Главное удовлетворить потребности стремительно растущего местного населения, насытить качественными товарами внутренний продовольственный рынок. Условия округа позволяют наращивать объемы производства овощей.</t>
  </si>
  <si>
    <t xml:space="preserve">Начальник управления сельского хозяйства и предпринимательства администрации Бардымского муниципального округа Акчардакова Гульназ Ильфатовна 
8(34292) 2 03 44 </t>
  </si>
  <si>
    <t>Бардымский муниципальный округ</t>
  </si>
  <si>
    <t>Пермский край, Бардымский район, с.Барда, ул. Ленина, 123</t>
  </si>
  <si>
    <t>Создание логистического центра по сбору, хранению, фасовке, упаковки овощей</t>
  </si>
  <si>
    <t xml:space="preserve"> Пермский край, Бардымский район, с.Барда, ул. Ленина, 123</t>
  </si>
  <si>
    <t>2022-2024</t>
  </si>
  <si>
    <t>Травматизм (ФСС) проекта определялся по ОКВЭД - 52.10 Деятельность по складированию и хранению. По данной деятельности присвоен 5 класс профессионального риска – ставка 0,6%.</t>
  </si>
  <si>
    <t xml:space="preserve">Все данные были предоставлены инициатором проекта. </t>
  </si>
  <si>
    <t>Производство овощей, картофеля по Бардымскому МО</t>
  </si>
  <si>
    <t>Объемы производства, тонн</t>
  </si>
  <si>
    <t>Средняя цена реализации, тыс.руб. за тонну</t>
  </si>
  <si>
    <t>Картофель</t>
  </si>
  <si>
    <t>Адутова Роза Венеровна,</t>
  </si>
  <si>
    <t>ведущий специалист по малым формам хозяйствования</t>
  </si>
  <si>
    <t>управления сельского хозяйства и предпринимательства администрации Бардымского муниципального округа Пермского края</t>
  </si>
  <si>
    <t>тел.(34 292) 2 25 13</t>
  </si>
  <si>
    <t xml:space="preserve">  тел.(34 292) 2 25 13</t>
  </si>
  <si>
    <t xml:space="preserve"> rosavenerovna@mail.ru</t>
  </si>
  <si>
    <t>Паспорт инвестиционной площадки</t>
  </si>
  <si>
    <t>для объектов каталога "Инвестиционные площадки Пермского края"</t>
  </si>
  <si>
    <t>Наименование полей</t>
  </si>
  <si>
    <t>Требования к формату вносимых данных, пояснение</t>
  </si>
  <si>
    <t>Наименование площадки</t>
  </si>
  <si>
    <t>«Логистический центр по переработке овощей»</t>
  </si>
  <si>
    <t>Тип площадки</t>
  </si>
  <si>
    <t>Сельскохозяйственное использование</t>
  </si>
  <si>
    <t>ГО/МР (mo/Справочник)</t>
  </si>
  <si>
    <t>Пермский край Бардымский муниципальный округ</t>
  </si>
  <si>
    <t>Адрес земельного участка</t>
  </si>
  <si>
    <t>Кадастровый номер земельного участка</t>
  </si>
  <si>
    <t>Функциональная и (или) территориальная зоны</t>
  </si>
  <si>
    <t>ПV - промышленная зона</t>
  </si>
  <si>
    <t>Для размещения логистического центра по переработке овощей</t>
  </si>
  <si>
    <t>Площадь площадки, га</t>
  </si>
  <si>
    <t>Муниципальная</t>
  </si>
  <si>
    <t>Обременение</t>
  </si>
  <si>
    <t>Обременений нет</t>
  </si>
  <si>
    <t>Скорость вовлечения в оборот, месяцев</t>
  </si>
  <si>
    <t>1 месяц</t>
  </si>
  <si>
    <t>Наличие на площадке объектов капитального и (или) некапитального строительства</t>
  </si>
  <si>
    <t>Отсутствуют</t>
  </si>
  <si>
    <t>Основные характеристики объектов капитального и (или) некапитального строительства</t>
  </si>
  <si>
    <t>Наличие технологического присоединения к сетям</t>
  </si>
  <si>
    <t>Электроэнергия, кВт</t>
  </si>
  <si>
    <t>Газоснабжение, м.куб/час</t>
  </si>
  <si>
    <t>Водоснабжение, м.куб./час</t>
  </si>
  <si>
    <t>Водоотведение, м.куб./час</t>
  </si>
  <si>
    <t>Теплоснабжение, Гкалл/час</t>
  </si>
  <si>
    <t>Удаленность площадки от точки технологического присоединения, м</t>
  </si>
  <si>
    <t>Водоснабжение</t>
  </si>
  <si>
    <t>Транспортная доступность</t>
  </si>
  <si>
    <t>Ближайшая региональная автотрасса Оса-Чернушка</t>
  </si>
  <si>
    <t>Расстояние до центра г.Пермь, км</t>
  </si>
  <si>
    <t>Расстояние до аэропорта, км</t>
  </si>
  <si>
    <t>Расстояние до ж/д станции, км</t>
  </si>
  <si>
    <t>Расстояние до речного порта, км</t>
  </si>
  <si>
    <t>Фотоматериалы</t>
  </si>
  <si>
    <t>Видеоматериалы</t>
  </si>
  <si>
    <t>Отображение на публичной кадастровой карте</t>
  </si>
  <si>
    <t>https://egrp365.ru/map/?kadnum=59:13:0060111:149&amp;ref=bq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</si>
</sst>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-;\-* #,##0_-;_-* &quot;-&quot;_-;_-@_-"/>
    <numFmt numFmtId="165" formatCode="0.0%"/>
    <numFmt numFmtId="166" formatCode="#,##0.0"/>
    <numFmt numFmtId="167" formatCode="0.000"/>
    <numFmt numFmtId="168" formatCode="#,##0_);\(#,##0\);\-_);@"/>
    <numFmt numFmtId="169" formatCode="0.0"/>
    <numFmt numFmtId="170" formatCode="#,##0.0000"/>
    <numFmt numFmtId="171" formatCode="#,##0\ _₽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color theme="3" tint="-0.499984740745262"/>
      <name val="Arial Narrow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2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1"/>
      <color rgb="FF002060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</font>
    <font>
      <i/>
      <sz val="11"/>
      <color theme="8" tint="-0.499984740745262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 tint="-4.9989318521683403E-2"/>
      <name val="Calibri"/>
      <family val="2"/>
      <charset val="204"/>
      <scheme val="minor"/>
    </font>
    <font>
      <sz val="10"/>
      <name val="Calibri"/>
      <family val="2"/>
      <scheme val="minor"/>
    </font>
    <font>
      <i/>
      <sz val="11"/>
      <color theme="3" tint="-0.499984740745262"/>
      <name val="Calibri"/>
      <family val="2"/>
      <charset val="204"/>
      <scheme val="minor"/>
    </font>
    <font>
      <b/>
      <i/>
      <sz val="11"/>
      <color theme="3" tint="-0.499984740745262"/>
      <name val="Calibri"/>
      <family val="2"/>
      <charset val="204"/>
      <scheme val="minor"/>
    </font>
    <font>
      <b/>
      <sz val="11"/>
      <color rgb="FFC00000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0" tint="-0.499984740745262"/>
      <name val="Calibri"/>
      <family val="2"/>
      <charset val="204"/>
    </font>
    <font>
      <i/>
      <sz val="11"/>
      <color theme="0" tint="-0.499984740745262"/>
      <name val="Calibri"/>
      <family val="2"/>
    </font>
    <font>
      <b/>
      <i/>
      <sz val="11"/>
      <color theme="0" tint="-0.499984740745262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0"/>
      <color theme="0" tint="-0.34998626667073579"/>
      <name val="Times New Roman"/>
      <family val="1"/>
    </font>
    <font>
      <i/>
      <sz val="10"/>
      <color theme="0" tint="-0.14999847407452621"/>
      <name val="Times New Roman"/>
      <family val="1"/>
    </font>
    <font>
      <sz val="10"/>
      <color theme="0" tint="-0.14999847407452621"/>
      <name val="Times New Roman"/>
      <family val="1"/>
    </font>
    <font>
      <b/>
      <sz val="10"/>
      <color theme="1" tint="0.34998626667073579"/>
      <name val="Times New Roman"/>
      <family val="1"/>
    </font>
    <font>
      <b/>
      <sz val="10"/>
      <color theme="0" tint="-0.34998626667073579"/>
      <name val="Times New Roman"/>
      <family val="1"/>
    </font>
    <font>
      <b/>
      <sz val="11"/>
      <color theme="0" tint="-0.499984740745262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1"/>
      <color rgb="FFFF9393"/>
      <name val="Times New Roman"/>
      <family val="1"/>
      <charset val="204"/>
    </font>
    <font>
      <sz val="11"/>
      <color rgb="FFFF9393"/>
      <name val="Times New Roman"/>
      <family val="1"/>
      <charset val="204"/>
    </font>
    <font>
      <i/>
      <sz val="10"/>
      <color rgb="FFFF9393"/>
      <name val="Times New Roman"/>
      <family val="1"/>
    </font>
    <font>
      <sz val="10"/>
      <color rgb="FFFF9393"/>
      <name val="Times New Roman"/>
      <family val="1"/>
    </font>
    <font>
      <sz val="10"/>
      <color theme="0" tint="-4.9989318521683403E-2"/>
      <name val="Times New Roman"/>
      <family val="1"/>
    </font>
    <font>
      <i/>
      <sz val="10"/>
      <color theme="0" tint="-4.9989318521683403E-2"/>
      <name val="Times New Roman"/>
      <family val="1"/>
    </font>
    <font>
      <b/>
      <sz val="10"/>
      <color theme="1" tint="0.249977111117893"/>
      <name val="Times New Roman"/>
      <family val="1"/>
    </font>
    <font>
      <b/>
      <sz val="11"/>
      <color rgb="FF002060"/>
      <name val="Calibri"/>
      <family val="2"/>
    </font>
    <font>
      <sz val="11"/>
      <color theme="4" tint="-0.249977111117893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i/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2C2D2E"/>
      <name val="Arial"/>
      <family val="2"/>
      <charset val="204"/>
    </font>
    <font>
      <sz val="14"/>
      <color rgb="FF2C2D2E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rgb="FF2C2D2E"/>
      <name val="Times New Roman"/>
      <family val="1"/>
      <charset val="204"/>
    </font>
    <font>
      <sz val="11"/>
      <color rgb="FF2C2D2E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lightDown">
        <fgColor theme="4" tint="0.59996337778862885"/>
        <bgColor theme="4" tint="0.7999511703848384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fgColor theme="4" tint="0.59996337778862885"/>
        <bgColor rgb="FFFFFF00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3" tint="-0.249977111117893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rgb="FF002060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5" fillId="0" borderId="0"/>
  </cellStyleXfs>
  <cellXfs count="696">
    <xf numFmtId="0" fontId="0" fillId="0" borderId="0" xfId="0"/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9" fontId="6" fillId="0" borderId="7" xfId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168" fontId="6" fillId="0" borderId="7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168" fontId="7" fillId="0" borderId="9" xfId="0" applyNumberFormat="1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8" fontId="7" fillId="0" borderId="7" xfId="0" applyNumberFormat="1" applyFont="1" applyBorder="1"/>
    <xf numFmtId="3" fontId="6" fillId="0" borderId="0" xfId="0" applyNumberFormat="1" applyFont="1"/>
    <xf numFmtId="0" fontId="9" fillId="0" borderId="0" xfId="0" applyFont="1" applyAlignment="1">
      <alignment wrapText="1"/>
    </xf>
    <xf numFmtId="0" fontId="6" fillId="0" borderId="3" xfId="0" applyFont="1" applyBorder="1"/>
    <xf numFmtId="168" fontId="11" fillId="0" borderId="9" xfId="0" applyNumberFormat="1" applyFont="1" applyBorder="1"/>
    <xf numFmtId="0" fontId="11" fillId="0" borderId="0" xfId="0" applyFont="1" applyAlignment="1">
      <alignment horizontal="left" vertical="center" wrapText="1"/>
    </xf>
    <xf numFmtId="168" fontId="11" fillId="0" borderId="7" xfId="0" applyNumberFormat="1" applyFont="1" applyBorder="1"/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9" fontId="6" fillId="0" borderId="11" xfId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11" fillId="0" borderId="3" xfId="0" applyFont="1" applyBorder="1"/>
    <xf numFmtId="168" fontId="8" fillId="0" borderId="7" xfId="0" applyNumberFormat="1" applyFont="1" applyBorder="1"/>
    <xf numFmtId="168" fontId="11" fillId="0" borderId="7" xfId="0" applyNumberFormat="1" applyFont="1" applyBorder="1" applyAlignment="1">
      <alignment horizontal="center" vertical="center"/>
    </xf>
    <xf numFmtId="0" fontId="15" fillId="0" borderId="0" xfId="0" applyFont="1"/>
    <xf numFmtId="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8" fontId="9" fillId="0" borderId="7" xfId="0" applyNumberFormat="1" applyFont="1" applyBorder="1"/>
    <xf numFmtId="168" fontId="0" fillId="0" borderId="0" xfId="0" applyNumberFormat="1"/>
    <xf numFmtId="168" fontId="9" fillId="0" borderId="8" xfId="0" applyNumberFormat="1" applyFont="1" applyBorder="1"/>
    <xf numFmtId="0" fontId="8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16" fillId="0" borderId="0" xfId="0" applyFont="1"/>
    <xf numFmtId="168" fontId="16" fillId="0" borderId="9" xfId="0" applyNumberFormat="1" applyFont="1" applyBorder="1"/>
    <xf numFmtId="3" fontId="17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1" fontId="6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168" fontId="13" fillId="0" borderId="7" xfId="0" applyNumberFormat="1" applyFont="1" applyBorder="1"/>
    <xf numFmtId="168" fontId="10" fillId="0" borderId="7" xfId="0" applyNumberFormat="1" applyFont="1" applyBorder="1"/>
    <xf numFmtId="168" fontId="13" fillId="0" borderId="9" xfId="0" applyNumberFormat="1" applyFont="1" applyBorder="1"/>
    <xf numFmtId="3" fontId="14" fillId="0" borderId="0" xfId="0" applyNumberFormat="1" applyFont="1"/>
    <xf numFmtId="168" fontId="13" fillId="2" borderId="7" xfId="0" applyNumberFormat="1" applyFont="1" applyFill="1" applyBorder="1"/>
    <xf numFmtId="168" fontId="8" fillId="2" borderId="8" xfId="0" applyNumberFormat="1" applyFont="1" applyFill="1" applyBorder="1"/>
    <xf numFmtId="168" fontId="13" fillId="2" borderId="9" xfId="0" applyNumberFormat="1" applyFont="1" applyFill="1" applyBorder="1"/>
    <xf numFmtId="3" fontId="14" fillId="2" borderId="0" xfId="0" applyNumberFormat="1" applyFont="1" applyFill="1"/>
    <xf numFmtId="168" fontId="8" fillId="0" borderId="8" xfId="0" applyNumberFormat="1" applyFont="1" applyBorder="1"/>
    <xf numFmtId="3" fontId="19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10" fontId="6" fillId="0" borderId="7" xfId="3" applyNumberFormat="1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165" fontId="6" fillId="0" borderId="7" xfId="3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0" fontId="11" fillId="0" borderId="12" xfId="0" applyFont="1" applyBorder="1"/>
    <xf numFmtId="0" fontId="7" fillId="0" borderId="12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6" fontId="21" fillId="0" borderId="7" xfId="0" applyNumberFormat="1" applyFont="1" applyBorder="1"/>
    <xf numFmtId="167" fontId="6" fillId="0" borderId="7" xfId="0" applyNumberFormat="1" applyFont="1" applyBorder="1"/>
    <xf numFmtId="0" fontId="22" fillId="0" borderId="0" xfId="0" applyFont="1" applyAlignment="1">
      <alignment horizontal="left" vertical="center"/>
    </xf>
    <xf numFmtId="3" fontId="9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9" fontId="9" fillId="0" borderId="7" xfId="0" applyNumberFormat="1" applyFont="1" applyBorder="1" applyAlignment="1">
      <alignment horizontal="center" vertical="center"/>
    </xf>
    <xf numFmtId="166" fontId="6" fillId="0" borderId="0" xfId="0" applyNumberFormat="1" applyFont="1"/>
    <xf numFmtId="0" fontId="24" fillId="0" borderId="0" xfId="5" applyFont="1"/>
    <xf numFmtId="0" fontId="2" fillId="0" borderId="0" xfId="5"/>
    <xf numFmtId="0" fontId="23" fillId="0" borderId="2" xfId="5" applyFont="1" applyBorder="1" applyAlignment="1">
      <alignment horizontal="center" wrapText="1"/>
    </xf>
    <xf numFmtId="0" fontId="23" fillId="0" borderId="2" xfId="5" applyFont="1" applyBorder="1" applyAlignment="1">
      <alignment horizontal="center"/>
    </xf>
    <xf numFmtId="0" fontId="24" fillId="0" borderId="2" xfId="5" applyFont="1" applyBorder="1" applyAlignment="1">
      <alignment wrapText="1"/>
    </xf>
    <xf numFmtId="0" fontId="24" fillId="0" borderId="2" xfId="5" applyFont="1" applyBorder="1" applyAlignment="1">
      <alignment horizontal="center" wrapText="1"/>
    </xf>
    <xf numFmtId="3" fontId="24" fillId="0" borderId="2" xfId="5" applyNumberFormat="1" applyFont="1" applyBorder="1" applyAlignment="1">
      <alignment horizontal="center"/>
    </xf>
    <xf numFmtId="3" fontId="24" fillId="0" borderId="0" xfId="5" applyNumberFormat="1" applyFont="1"/>
    <xf numFmtId="0" fontId="26" fillId="0" borderId="2" xfId="5" applyFont="1" applyBorder="1" applyAlignment="1">
      <alignment horizontal="center" wrapText="1"/>
    </xf>
    <xf numFmtId="3" fontId="26" fillId="0" borderId="2" xfId="5" applyNumberFormat="1" applyFont="1" applyBorder="1" applyAlignment="1">
      <alignment horizontal="center" wrapText="1"/>
    </xf>
    <xf numFmtId="0" fontId="24" fillId="0" borderId="2" xfId="5" applyFont="1" applyBorder="1" applyAlignment="1">
      <alignment vertical="center" wrapText="1"/>
    </xf>
    <xf numFmtId="0" fontId="24" fillId="0" borderId="2" xfId="5" applyFont="1" applyBorder="1" applyAlignment="1">
      <alignment horizontal="center" vertical="center" wrapText="1"/>
    </xf>
    <xf numFmtId="3" fontId="24" fillId="0" borderId="2" xfId="5" applyNumberFormat="1" applyFont="1" applyBorder="1" applyAlignment="1">
      <alignment horizontal="center" vertical="center" wrapText="1"/>
    </xf>
    <xf numFmtId="0" fontId="24" fillId="0" borderId="0" xfId="5" applyFont="1" applyAlignment="1">
      <alignment vertical="center"/>
    </xf>
    <xf numFmtId="0" fontId="2" fillId="0" borderId="0" xfId="5" applyAlignment="1">
      <alignment vertical="center"/>
    </xf>
    <xf numFmtId="3" fontId="24" fillId="0" borderId="2" xfId="5" applyNumberFormat="1" applyFont="1" applyBorder="1" applyAlignment="1">
      <alignment horizontal="center" wrapText="1"/>
    </xf>
    <xf numFmtId="0" fontId="26" fillId="0" borderId="2" xfId="5" applyFont="1" applyBorder="1" applyAlignment="1">
      <alignment wrapText="1"/>
    </xf>
    <xf numFmtId="0" fontId="27" fillId="0" borderId="2" xfId="0" applyFont="1" applyBorder="1" applyAlignment="1">
      <alignment vertical="center" wrapText="1"/>
    </xf>
    <xf numFmtId="0" fontId="24" fillId="0" borderId="2" xfId="5" applyFont="1" applyBorder="1"/>
    <xf numFmtId="0" fontId="27" fillId="0" borderId="2" xfId="0" applyFont="1" applyBorder="1" applyAlignment="1">
      <alignment horizontal="left" vertical="center" wrapText="1" indent="3"/>
    </xf>
    <xf numFmtId="1" fontId="24" fillId="0" borderId="2" xfId="5" applyNumberFormat="1" applyFont="1" applyBorder="1" applyAlignment="1">
      <alignment horizontal="center" wrapText="1"/>
    </xf>
    <xf numFmtId="0" fontId="24" fillId="0" borderId="2" xfId="5" applyFont="1" applyBorder="1" applyAlignment="1">
      <alignment horizontal="center" vertical="center"/>
    </xf>
    <xf numFmtId="3" fontId="24" fillId="0" borderId="2" xfId="5" applyNumberFormat="1" applyFont="1" applyBorder="1" applyAlignment="1">
      <alignment horizontal="center" vertical="center"/>
    </xf>
    <xf numFmtId="3" fontId="28" fillId="0" borderId="0" xfId="5" applyNumberFormat="1" applyFont="1"/>
    <xf numFmtId="4" fontId="28" fillId="0" borderId="0" xfId="5" applyNumberFormat="1" applyFont="1"/>
    <xf numFmtId="0" fontId="8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3" fillId="0" borderId="16" xfId="0" applyFont="1" applyFill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/>
    <xf numFmtId="0" fontId="13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8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3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3" fontId="8" fillId="0" borderId="0" xfId="0" applyNumberFormat="1" applyFont="1" applyFill="1" applyAlignment="1" applyProtection="1">
      <alignment horizontal="center" vertical="center" wrapText="1"/>
      <protection locked="0"/>
    </xf>
    <xf numFmtId="9" fontId="8" fillId="0" borderId="0" xfId="0" applyNumberFormat="1" applyFont="1" applyFill="1" applyAlignment="1">
      <alignment horizontal="center"/>
    </xf>
    <xf numFmtId="9" fontId="8" fillId="0" borderId="0" xfId="0" applyNumberFormat="1" applyFont="1" applyFill="1"/>
    <xf numFmtId="0" fontId="31" fillId="0" borderId="16" xfId="0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/>
    </xf>
    <xf numFmtId="9" fontId="8" fillId="3" borderId="7" xfId="0" applyNumberFormat="1" applyFont="1" applyFill="1" applyBorder="1" applyAlignment="1" applyProtection="1">
      <alignment horizontal="center" vertical="center"/>
      <protection locked="0"/>
    </xf>
    <xf numFmtId="165" fontId="8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33" fillId="0" borderId="0" xfId="2" applyFont="1" applyFill="1" applyBorder="1" applyAlignment="1" applyProtection="1">
      <alignment horizontal="left"/>
      <protection locked="0"/>
    </xf>
    <xf numFmtId="0" fontId="33" fillId="0" borderId="16" xfId="2" applyFont="1" applyFill="1" applyBorder="1" applyAlignment="1" applyProtection="1">
      <alignment horizontal="left"/>
      <protection locked="0"/>
    </xf>
    <xf numFmtId="0" fontId="31" fillId="0" borderId="16" xfId="0" applyFont="1" applyFill="1" applyBorder="1" applyAlignment="1" applyProtection="1">
      <alignment horizontal="left" vertical="center"/>
      <protection locked="0"/>
    </xf>
    <xf numFmtId="3" fontId="8" fillId="3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3" fillId="0" borderId="0" xfId="2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166" fontId="8" fillId="3" borderId="7" xfId="0" applyNumberFormat="1" applyFont="1" applyFill="1" applyBorder="1" applyAlignment="1" applyProtection="1">
      <alignment horizontal="center" vertical="center"/>
      <protection locked="0"/>
    </xf>
    <xf numFmtId="3" fontId="8" fillId="3" borderId="7" xfId="0" applyNumberFormat="1" applyFont="1" applyFill="1" applyBorder="1" applyAlignment="1" applyProtection="1">
      <alignment horizontal="center" vertical="center"/>
      <protection locked="0"/>
    </xf>
    <xf numFmtId="9" fontId="8" fillId="3" borderId="7" xfId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9" fontId="8" fillId="3" borderId="7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indent="4"/>
    </xf>
    <xf numFmtId="0" fontId="16" fillId="0" borderId="0" xfId="0" applyFont="1" applyFill="1" applyAlignment="1" applyProtection="1">
      <alignment horizontal="center" vertical="center"/>
      <protection locked="0"/>
    </xf>
    <xf numFmtId="0" fontId="38" fillId="0" borderId="0" xfId="2" applyFont="1" applyFill="1" applyBorder="1" applyProtection="1"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 applyProtection="1">
      <alignment horizontal="right" vertical="center"/>
      <protection locked="0"/>
    </xf>
    <xf numFmtId="0" fontId="30" fillId="0" borderId="0" xfId="0" applyFont="1" applyFill="1" applyAlignment="1">
      <alignment horizontal="right" vertical="center"/>
    </xf>
    <xf numFmtId="0" fontId="39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/>
    <xf numFmtId="168" fontId="7" fillId="0" borderId="17" xfId="0" applyNumberFormat="1" applyFont="1" applyBorder="1"/>
    <xf numFmtId="0" fontId="16" fillId="0" borderId="0" xfId="0" applyFont="1" applyFill="1" applyBorder="1" applyAlignment="1">
      <alignment horizontal="right" vertical="center"/>
    </xf>
    <xf numFmtId="168" fontId="7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 vertical="center"/>
    </xf>
    <xf numFmtId="168" fontId="6" fillId="0" borderId="18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 wrapText="1"/>
    </xf>
    <xf numFmtId="0" fontId="40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16" xfId="0" applyBorder="1" applyAlignment="1">
      <alignment horizontal="right"/>
    </xf>
    <xf numFmtId="0" fontId="8" fillId="0" borderId="16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 wrapText="1"/>
    </xf>
    <xf numFmtId="0" fontId="35" fillId="0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41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vertical="top" wrapText="1"/>
    </xf>
    <xf numFmtId="9" fontId="9" fillId="0" borderId="7" xfId="1" applyFont="1" applyBorder="1"/>
    <xf numFmtId="168" fontId="9" fillId="0" borderId="10" xfId="0" applyNumberFormat="1" applyFont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3" fontId="6" fillId="0" borderId="0" xfId="0" applyNumberFormat="1" applyFont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168" fontId="13" fillId="0" borderId="17" xfId="0" applyNumberFormat="1" applyFont="1" applyBorder="1"/>
    <xf numFmtId="168" fontId="8" fillId="0" borderId="10" xfId="0" applyNumberFormat="1" applyFont="1" applyBorder="1"/>
    <xf numFmtId="168" fontId="16" fillId="0" borderId="17" xfId="0" applyNumberFormat="1" applyFont="1" applyBorder="1"/>
    <xf numFmtId="0" fontId="6" fillId="0" borderId="0" xfId="0" applyFont="1" applyAlignment="1">
      <alignment horizontal="left" wrapText="1"/>
    </xf>
    <xf numFmtId="0" fontId="8" fillId="0" borderId="0" xfId="0" applyFont="1" applyFill="1" applyAlignment="1">
      <alignment horizontal="left"/>
    </xf>
    <xf numFmtId="0" fontId="31" fillId="0" borderId="0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1" xfId="0" applyFont="1" applyBorder="1" applyAlignment="1">
      <alignment horizontal="center" vertical="center"/>
    </xf>
    <xf numFmtId="168" fontId="6" fillId="0" borderId="10" xfId="0" applyNumberFormat="1" applyFont="1" applyBorder="1"/>
    <xf numFmtId="0" fontId="5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9" fontId="6" fillId="0" borderId="7" xfId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9" fontId="8" fillId="0" borderId="7" xfId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9" xfId="0" applyFont="1" applyBorder="1" applyAlignment="1">
      <alignment horizontal="center" vertical="center"/>
    </xf>
    <xf numFmtId="168" fontId="8" fillId="0" borderId="0" xfId="0" applyNumberFormat="1" applyFont="1" applyFill="1" applyBorder="1"/>
    <xf numFmtId="3" fontId="16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8" fillId="4" borderId="0" xfId="0" applyFont="1" applyFill="1"/>
    <xf numFmtId="0" fontId="13" fillId="4" borderId="0" xfId="0" applyFont="1" applyFill="1" applyAlignment="1">
      <alignment wrapText="1"/>
    </xf>
    <xf numFmtId="0" fontId="34" fillId="0" borderId="0" xfId="0" applyFont="1" applyAlignment="1">
      <alignment horizontal="left" vertical="center"/>
    </xf>
    <xf numFmtId="168" fontId="8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9" fontId="8" fillId="0" borderId="0" xfId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 vertical="center"/>
    </xf>
    <xf numFmtId="9" fontId="45" fillId="0" borderId="7" xfId="1" applyFont="1" applyBorder="1"/>
    <xf numFmtId="9" fontId="46" fillId="0" borderId="7" xfId="1" applyFont="1" applyBorder="1" applyAlignment="1">
      <alignment horizontal="center"/>
    </xf>
    <xf numFmtId="168" fontId="7" fillId="0" borderId="7" xfId="0" applyNumberFormat="1" applyFont="1" applyBorder="1" applyAlignment="1">
      <alignment horizontal="center" vertical="center"/>
    </xf>
    <xf numFmtId="9" fontId="46" fillId="0" borderId="7" xfId="1" applyFont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0" fontId="6" fillId="3" borderId="7" xfId="3" applyNumberFormat="1" applyFont="1" applyFill="1" applyBorder="1" applyAlignment="1">
      <alignment horizontal="center" vertical="center"/>
    </xf>
    <xf numFmtId="2" fontId="6" fillId="3" borderId="7" xfId="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8" fontId="8" fillId="0" borderId="7" xfId="0" applyNumberFormat="1" applyFont="1" applyBorder="1" applyAlignment="1">
      <alignment horizontal="center" vertical="center"/>
    </xf>
    <xf numFmtId="168" fontId="16" fillId="0" borderId="7" xfId="0" applyNumberFormat="1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4" fillId="0" borderId="1" xfId="0" applyFont="1" applyBorder="1" applyAlignment="1">
      <alignment horizontal="left" vertical="center"/>
    </xf>
    <xf numFmtId="9" fontId="8" fillId="0" borderId="1" xfId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/>
    </xf>
    <xf numFmtId="168" fontId="8" fillId="0" borderId="20" xfId="0" applyNumberFormat="1" applyFont="1" applyBorder="1"/>
    <xf numFmtId="0" fontId="10" fillId="0" borderId="0" xfId="0" applyFont="1" applyFill="1"/>
    <xf numFmtId="1" fontId="8" fillId="0" borderId="7" xfId="1" applyNumberFormat="1" applyFont="1" applyBorder="1" applyAlignment="1">
      <alignment horizontal="center" vertical="center"/>
    </xf>
    <xf numFmtId="9" fontId="8" fillId="3" borderId="7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17" fontId="8" fillId="3" borderId="7" xfId="0" applyNumberFormat="1" applyFont="1" applyFill="1" applyBorder="1" applyAlignment="1" applyProtection="1">
      <alignment horizontal="left"/>
      <protection locked="0"/>
    </xf>
    <xf numFmtId="0" fontId="8" fillId="3" borderId="7" xfId="0" applyFont="1" applyFill="1" applyBorder="1" applyAlignment="1">
      <alignment horizontal="left" vertical="center"/>
    </xf>
    <xf numFmtId="0" fontId="44" fillId="3" borderId="7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/>
    </xf>
    <xf numFmtId="0" fontId="6" fillId="0" borderId="16" xfId="0" applyFont="1" applyBorder="1" applyAlignment="1">
      <alignment horizontal="left" wrapText="1"/>
    </xf>
    <xf numFmtId="0" fontId="8" fillId="3" borderId="17" xfId="0" applyFont="1" applyFill="1" applyBorder="1" applyAlignment="1">
      <alignment horizontal="center" vertical="center"/>
    </xf>
    <xf numFmtId="0" fontId="44" fillId="3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wrapText="1"/>
    </xf>
    <xf numFmtId="1" fontId="8" fillId="3" borderId="7" xfId="1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Alignment="1" applyProtection="1">
      <alignment horizontal="left" vertical="center"/>
      <protection locked="0"/>
    </xf>
    <xf numFmtId="168" fontId="9" fillId="0" borderId="17" xfId="0" applyNumberFormat="1" applyFont="1" applyBorder="1"/>
    <xf numFmtId="3" fontId="8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4" fillId="0" borderId="0" xfId="2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center" vertical="center"/>
    </xf>
    <xf numFmtId="168" fontId="8" fillId="0" borderId="0" xfId="0" applyNumberFormat="1" applyFont="1" applyBorder="1"/>
    <xf numFmtId="168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1" fontId="8" fillId="3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0" fontId="48" fillId="5" borderId="17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horizontal="left" vertical="center"/>
    </xf>
    <xf numFmtId="168" fontId="34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168" fontId="6" fillId="0" borderId="7" xfId="0" applyNumberFormat="1" applyFont="1" applyBorder="1" applyAlignment="1">
      <alignment vertical="center"/>
    </xf>
    <xf numFmtId="168" fontId="6" fillId="0" borderId="17" xfId="0" applyNumberFormat="1" applyFont="1" applyBorder="1"/>
    <xf numFmtId="0" fontId="8" fillId="0" borderId="0" xfId="0" applyFont="1" applyAlignment="1">
      <alignment horizontal="left"/>
    </xf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9" fontId="11" fillId="0" borderId="13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top" wrapText="1"/>
    </xf>
    <xf numFmtId="3" fontId="16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168" fontId="7" fillId="0" borderId="18" xfId="0" applyNumberFormat="1" applyFont="1" applyBorder="1" applyAlignment="1">
      <alignment horizontal="center"/>
    </xf>
    <xf numFmtId="168" fontId="7" fillId="0" borderId="18" xfId="0" applyNumberFormat="1" applyFont="1" applyBorder="1" applyAlignment="1">
      <alignment horizontal="center" vertical="center"/>
    </xf>
    <xf numFmtId="168" fontId="7" fillId="0" borderId="17" xfId="0" applyNumberFormat="1" applyFont="1" applyBorder="1" applyAlignment="1">
      <alignment horizontal="center"/>
    </xf>
    <xf numFmtId="168" fontId="7" fillId="0" borderId="17" xfId="0" applyNumberFormat="1" applyFont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168" fontId="7" fillId="0" borderId="8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68" fontId="16" fillId="0" borderId="17" xfId="0" applyNumberFormat="1" applyFont="1" applyBorder="1" applyAlignment="1">
      <alignment horizontal="center" vertical="center"/>
    </xf>
    <xf numFmtId="168" fontId="16" fillId="0" borderId="7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8" fontId="16" fillId="0" borderId="10" xfId="0" applyNumberFormat="1" applyFont="1" applyBorder="1" applyAlignment="1">
      <alignment horizontal="center" vertical="center"/>
    </xf>
    <xf numFmtId="168" fontId="16" fillId="0" borderId="20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168" fontId="13" fillId="0" borderId="7" xfId="0" applyNumberFormat="1" applyFont="1" applyBorder="1" applyAlignment="1">
      <alignment horizontal="center" vertical="center"/>
    </xf>
    <xf numFmtId="168" fontId="13" fillId="0" borderId="17" xfId="0" applyNumberFormat="1" applyFont="1" applyBorder="1" applyAlignment="1">
      <alignment horizontal="center" vertical="center"/>
    </xf>
    <xf numFmtId="168" fontId="13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68" fontId="13" fillId="2" borderId="7" xfId="0" applyNumberFormat="1" applyFont="1" applyFill="1" applyBorder="1" applyAlignment="1">
      <alignment horizontal="center" vertical="center"/>
    </xf>
    <xf numFmtId="168" fontId="13" fillId="2" borderId="9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/>
    </xf>
    <xf numFmtId="166" fontId="54" fillId="0" borderId="7" xfId="0" applyNumberFormat="1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0" fontId="24" fillId="0" borderId="0" xfId="5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3" fillId="0" borderId="0" xfId="2" applyFont="1" applyFill="1" applyBorder="1" applyAlignment="1" applyProtection="1">
      <alignment horizontal="left"/>
      <protection locked="0"/>
    </xf>
    <xf numFmtId="9" fontId="8" fillId="0" borderId="7" xfId="1" applyFont="1" applyFill="1" applyBorder="1" applyAlignment="1">
      <alignment horizontal="center" vertical="center"/>
    </xf>
    <xf numFmtId="0" fontId="11" fillId="0" borderId="0" xfId="0" applyFont="1" applyBorder="1"/>
    <xf numFmtId="0" fontId="7" fillId="0" borderId="0" xfId="0" applyFont="1" applyBorder="1" applyAlignment="1">
      <alignment horizontal="center"/>
    </xf>
    <xf numFmtId="0" fontId="5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wrapText="1"/>
    </xf>
    <xf numFmtId="165" fontId="16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/>
    </xf>
    <xf numFmtId="167" fontId="8" fillId="0" borderId="7" xfId="1" applyNumberFormat="1" applyFont="1" applyFill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168" fontId="9" fillId="0" borderId="18" xfId="0" applyNumberFormat="1" applyFont="1" applyBorder="1"/>
    <xf numFmtId="168" fontId="7" fillId="0" borderId="10" xfId="0" applyNumberFormat="1" applyFont="1" applyBorder="1" applyAlignment="1">
      <alignment horizontal="center" vertical="center"/>
    </xf>
    <xf numFmtId="168" fontId="8" fillId="0" borderId="10" xfId="0" applyNumberFormat="1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0" fillId="0" borderId="3" xfId="0" applyFont="1" applyBorder="1" applyAlignment="1">
      <alignment horizontal="left"/>
    </xf>
    <xf numFmtId="0" fontId="20" fillId="0" borderId="0" xfId="0" applyFont="1" applyFill="1"/>
    <xf numFmtId="0" fontId="20" fillId="0" borderId="0" xfId="0" applyFont="1" applyFill="1" applyBorder="1" applyAlignment="1" applyProtection="1">
      <alignment vertical="top" wrapText="1"/>
      <protection locked="0"/>
    </xf>
    <xf numFmtId="3" fontId="26" fillId="0" borderId="2" xfId="5" applyNumberFormat="1" applyFont="1" applyBorder="1" applyAlignment="1">
      <alignment horizont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3" fontId="62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3" fontId="63" fillId="0" borderId="0" xfId="0" applyNumberFormat="1" applyFont="1" applyAlignment="1">
      <alignment vertical="center"/>
    </xf>
    <xf numFmtId="3" fontId="60" fillId="0" borderId="0" xfId="0" applyNumberFormat="1" applyFont="1" applyFill="1" applyAlignment="1">
      <alignment vertical="center"/>
    </xf>
    <xf numFmtId="3" fontId="63" fillId="0" borderId="0" xfId="0" applyNumberFormat="1" applyFont="1" applyFill="1" applyAlignment="1">
      <alignment vertical="center"/>
    </xf>
    <xf numFmtId="0" fontId="64" fillId="0" borderId="0" xfId="5" applyFont="1" applyAlignment="1">
      <alignment horizontal="center" vertical="center"/>
    </xf>
    <xf numFmtId="0" fontId="65" fillId="0" borderId="0" xfId="5" applyFont="1" applyAlignment="1">
      <alignment horizontal="center"/>
    </xf>
    <xf numFmtId="3" fontId="65" fillId="0" borderId="0" xfId="5" applyNumberFormat="1" applyFont="1" applyAlignment="1">
      <alignment horizontal="center"/>
    </xf>
    <xf numFmtId="3" fontId="65" fillId="0" borderId="0" xfId="5" applyNumberFormat="1" applyFont="1" applyAlignment="1">
      <alignment horizontal="center" vertical="center"/>
    </xf>
    <xf numFmtId="0" fontId="66" fillId="0" borderId="0" xfId="5" applyFont="1" applyAlignment="1">
      <alignment horizontal="center" vertical="center"/>
    </xf>
    <xf numFmtId="0" fontId="67" fillId="0" borderId="0" xfId="5" applyFont="1" applyAlignment="1">
      <alignment horizontal="center"/>
    </xf>
    <xf numFmtId="3" fontId="67" fillId="0" borderId="0" xfId="5" applyNumberFormat="1" applyFont="1" applyAlignment="1">
      <alignment horizontal="center"/>
    </xf>
    <xf numFmtId="0" fontId="68" fillId="0" borderId="0" xfId="0" applyFont="1" applyAlignment="1">
      <alignment horizontal="right" vertical="center"/>
    </xf>
    <xf numFmtId="0" fontId="69" fillId="0" borderId="0" xfId="0" applyFont="1" applyAlignment="1">
      <alignment vertical="center"/>
    </xf>
    <xf numFmtId="164" fontId="68" fillId="0" borderId="0" xfId="0" applyNumberFormat="1" applyFont="1" applyAlignment="1">
      <alignment vertical="center"/>
    </xf>
    <xf numFmtId="164" fontId="68" fillId="0" borderId="0" xfId="0" applyNumberFormat="1" applyFont="1" applyFill="1" applyAlignment="1">
      <alignment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3" fontId="70" fillId="0" borderId="0" xfId="0" applyNumberFormat="1" applyFont="1" applyAlignment="1">
      <alignment vertical="center"/>
    </xf>
    <xf numFmtId="3" fontId="70" fillId="0" borderId="0" xfId="0" applyNumberFormat="1" applyFont="1" applyFill="1" applyAlignment="1">
      <alignment vertical="center"/>
    </xf>
    <xf numFmtId="3" fontId="71" fillId="0" borderId="0" xfId="0" applyNumberFormat="1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3" fontId="72" fillId="3" borderId="0" xfId="0" applyNumberFormat="1" applyFont="1" applyFill="1" applyAlignment="1">
      <alignment vertical="center"/>
    </xf>
    <xf numFmtId="0" fontId="33" fillId="0" borderId="0" xfId="2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4" fillId="0" borderId="0" xfId="2" applyFill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6" fillId="0" borderId="0" xfId="0" applyFont="1" applyBorder="1"/>
    <xf numFmtId="0" fontId="16" fillId="0" borderId="0" xfId="0" applyFont="1" applyFill="1" applyBorder="1" applyAlignment="1">
      <alignment horizontal="center" vertical="center"/>
    </xf>
    <xf numFmtId="168" fontId="8" fillId="0" borderId="0" xfId="0" applyNumberFormat="1" applyFont="1" applyFill="1" applyBorder="1" applyAlignment="1" applyProtection="1">
      <alignment horizontal="left"/>
      <protection locked="0"/>
    </xf>
    <xf numFmtId="168" fontId="8" fillId="0" borderId="0" xfId="0" applyNumberFormat="1" applyFont="1" applyFill="1" applyAlignment="1">
      <alignment horizontal="left" vertical="center"/>
    </xf>
    <xf numFmtId="168" fontId="8" fillId="0" borderId="0" xfId="0" applyNumberFormat="1" applyFont="1" applyFill="1" applyBorder="1" applyAlignment="1">
      <alignment horizontal="left" vertical="center"/>
    </xf>
    <xf numFmtId="168" fontId="8" fillId="0" borderId="0" xfId="0" applyNumberFormat="1" applyFont="1" applyFill="1" applyAlignment="1">
      <alignment horizontal="left"/>
    </xf>
    <xf numFmtId="168" fontId="6" fillId="0" borderId="0" xfId="0" applyNumberFormat="1" applyFont="1" applyAlignment="1">
      <alignment horizontal="left" wrapText="1"/>
    </xf>
    <xf numFmtId="168" fontId="6" fillId="0" borderId="0" xfId="0" applyNumberFormat="1" applyFont="1" applyBorder="1" applyAlignment="1">
      <alignment horizontal="left" wrapText="1"/>
    </xf>
    <xf numFmtId="168" fontId="6" fillId="0" borderId="0" xfId="0" applyNumberFormat="1" applyFont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left"/>
    </xf>
    <xf numFmtId="168" fontId="6" fillId="0" borderId="16" xfId="0" applyNumberFormat="1" applyFont="1" applyBorder="1" applyAlignment="1">
      <alignment horizontal="left" wrapText="1"/>
    </xf>
    <xf numFmtId="168" fontId="9" fillId="0" borderId="0" xfId="0" applyNumberFormat="1" applyFont="1" applyAlignment="1">
      <alignment horizontal="left" vertical="center" wrapText="1"/>
    </xf>
    <xf numFmtId="168" fontId="9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indent="3"/>
    </xf>
    <xf numFmtId="170" fontId="8" fillId="0" borderId="0" xfId="0" applyNumberFormat="1" applyFont="1" applyFill="1"/>
    <xf numFmtId="0" fontId="8" fillId="0" borderId="0" xfId="0" applyFont="1" applyAlignment="1">
      <alignment horizontal="justify"/>
    </xf>
    <xf numFmtId="0" fontId="20" fillId="0" borderId="0" xfId="0" applyFont="1" applyAlignment="1" applyProtection="1">
      <alignment horizontal="justify" vertical="top" wrapText="1"/>
      <protection locked="0"/>
    </xf>
    <xf numFmtId="168" fontId="10" fillId="0" borderId="7" xfId="0" applyNumberFormat="1" applyFont="1" applyBorder="1" applyAlignment="1">
      <alignment horizontal="right"/>
    </xf>
    <xf numFmtId="168" fontId="6" fillId="0" borderId="8" xfId="0" applyNumberFormat="1" applyFont="1" applyBorder="1" applyAlignment="1">
      <alignment horizontal="right"/>
    </xf>
    <xf numFmtId="3" fontId="8" fillId="0" borderId="0" xfId="0" applyNumberFormat="1" applyFont="1" applyFill="1"/>
    <xf numFmtId="0" fontId="8" fillId="0" borderId="0" xfId="0" applyFont="1" applyFill="1" applyAlignment="1">
      <alignment horizontal="left" wrapText="1" indent="3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165" fontId="8" fillId="3" borderId="7" xfId="1" applyNumberFormat="1" applyFont="1" applyFill="1" applyBorder="1" applyAlignment="1" applyProtection="1">
      <alignment horizontal="center" vertical="center"/>
      <protection locked="0"/>
    </xf>
    <xf numFmtId="165" fontId="9" fillId="0" borderId="7" xfId="1" applyNumberFormat="1" applyFont="1" applyBorder="1"/>
    <xf numFmtId="0" fontId="18" fillId="0" borderId="0" xfId="0" applyFont="1" applyAlignment="1">
      <alignment horizontal="left" vertical="center"/>
    </xf>
    <xf numFmtId="168" fontId="78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3" fontId="21" fillId="0" borderId="7" xfId="0" applyNumberFormat="1" applyFont="1" applyBorder="1"/>
    <xf numFmtId="168" fontId="8" fillId="0" borderId="7" xfId="0" applyNumberFormat="1" applyFont="1" applyFill="1" applyBorder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168" fontId="8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168" fontId="8" fillId="0" borderId="7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75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top"/>
    </xf>
    <xf numFmtId="0" fontId="0" fillId="0" borderId="0" xfId="0" applyAlignment="1">
      <alignment vertical="top"/>
    </xf>
    <xf numFmtId="0" fontId="33" fillId="0" borderId="0" xfId="2" applyFont="1" applyFill="1" applyBorder="1" applyAlignment="1" applyProtection="1">
      <alignment horizontal="left"/>
      <protection locked="0"/>
    </xf>
    <xf numFmtId="168" fontId="9" fillId="0" borderId="8" xfId="0" applyNumberFormat="1" applyFont="1" applyBorder="1" applyAlignment="1">
      <alignment horizontal="right"/>
    </xf>
    <xf numFmtId="0" fontId="8" fillId="3" borderId="7" xfId="0" applyFont="1" applyFill="1" applyBorder="1" applyAlignment="1">
      <alignment horizontal="left" vertical="center"/>
    </xf>
    <xf numFmtId="1" fontId="13" fillId="0" borderId="0" xfId="0" applyNumberFormat="1" applyFont="1" applyFill="1" applyProtection="1">
      <protection locked="0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 applyProtection="1">
      <alignment horizontal="left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10" fillId="0" borderId="34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/>
    </xf>
    <xf numFmtId="0" fontId="8" fillId="0" borderId="34" xfId="0" applyFont="1" applyFill="1" applyBorder="1" applyAlignment="1" applyProtection="1">
      <alignment horizontal="left"/>
      <protection locked="0"/>
    </xf>
    <xf numFmtId="0" fontId="8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 applyProtection="1">
      <alignment horizontal="left"/>
      <protection locked="0"/>
    </xf>
    <xf numFmtId="0" fontId="8" fillId="0" borderId="35" xfId="0" applyFont="1" applyFill="1" applyBorder="1" applyAlignment="1">
      <alignment horizontal="center" vertical="center"/>
    </xf>
    <xf numFmtId="0" fontId="8" fillId="0" borderId="34" xfId="0" applyFont="1" applyFill="1" applyBorder="1" applyAlignment="1" applyProtection="1">
      <alignment horizontal="left" vertical="center"/>
      <protection locked="0"/>
    </xf>
    <xf numFmtId="3" fontId="79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center" vertical="center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3" borderId="37" xfId="0" applyNumberFormat="1" applyFont="1" applyFill="1" applyBorder="1" applyAlignment="1" applyProtection="1">
      <alignment horizontal="center" vertical="center"/>
      <protection locked="0"/>
    </xf>
    <xf numFmtId="3" fontId="79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/>
    <xf numFmtId="3" fontId="79" fillId="0" borderId="0" xfId="0" applyNumberFormat="1" applyFont="1" applyFill="1" applyBorder="1" applyAlignment="1" applyProtection="1">
      <alignment horizontal="center" vertical="center"/>
      <protection locked="0"/>
    </xf>
    <xf numFmtId="167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2" xfId="0" applyNumberFormat="1" applyBorder="1"/>
    <xf numFmtId="10" fontId="0" fillId="6" borderId="2" xfId="0" applyNumberFormat="1" applyFill="1" applyBorder="1" applyAlignment="1">
      <alignment horizontal="center" vertical="center"/>
    </xf>
    <xf numFmtId="10" fontId="0" fillId="6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9" fontId="9" fillId="0" borderId="10" xfId="1" applyNumberFormat="1" applyFont="1" applyBorder="1" applyAlignment="1">
      <alignment horizontal="right"/>
    </xf>
    <xf numFmtId="9" fontId="9" fillId="0" borderId="10" xfId="1" applyFont="1" applyBorder="1"/>
    <xf numFmtId="9" fontId="9" fillId="0" borderId="10" xfId="1" applyNumberFormat="1" applyFont="1" applyBorder="1"/>
    <xf numFmtId="0" fontId="78" fillId="0" borderId="31" xfId="0" applyFont="1" applyFill="1" applyBorder="1" applyAlignment="1">
      <alignment horizontal="right" vertical="top"/>
    </xf>
    <xf numFmtId="0" fontId="78" fillId="0" borderId="0" xfId="0" applyFont="1" applyFill="1" applyAlignment="1">
      <alignment horizontal="right" vertical="top"/>
    </xf>
    <xf numFmtId="0" fontId="8" fillId="0" borderId="35" xfId="0" applyFont="1" applyFill="1" applyBorder="1" applyAlignment="1" applyProtection="1">
      <alignment horizontal="left" vertical="top" wrapText="1"/>
      <protection locked="0"/>
    </xf>
    <xf numFmtId="0" fontId="8" fillId="0" borderId="37" xfId="0" applyNumberFormat="1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top"/>
    </xf>
    <xf numFmtId="0" fontId="0" fillId="0" borderId="15" xfId="0" applyBorder="1" applyAlignment="1">
      <alignment horizontal="center" vertical="center"/>
    </xf>
    <xf numFmtId="10" fontId="0" fillId="6" borderId="5" xfId="1" applyNumberFormat="1" applyFont="1" applyFill="1" applyBorder="1" applyAlignment="1">
      <alignment horizontal="center" vertical="center"/>
    </xf>
    <xf numFmtId="0" fontId="0" fillId="0" borderId="14" xfId="0" applyBorder="1"/>
    <xf numFmtId="167" fontId="0" fillId="0" borderId="2" xfId="0" applyNumberFormat="1" applyBorder="1" applyAlignment="1">
      <alignment horizontal="center" vertical="center"/>
    </xf>
    <xf numFmtId="167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3" fontId="75" fillId="0" borderId="0" xfId="0" applyNumberFormat="1" applyFont="1" applyFill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168" fontId="6" fillId="0" borderId="0" xfId="0" applyNumberFormat="1" applyFont="1"/>
    <xf numFmtId="168" fontId="7" fillId="0" borderId="0" xfId="0" applyNumberFormat="1" applyFont="1"/>
    <xf numFmtId="0" fontId="14" fillId="0" borderId="0" xfId="0" applyFont="1" applyFill="1" applyAlignment="1">
      <alignment horizontal="left" vertical="center"/>
    </xf>
    <xf numFmtId="0" fontId="48" fillId="8" borderId="7" xfId="0" applyFont="1" applyFill="1" applyBorder="1" applyAlignment="1">
      <alignment horizontal="center" vertical="center"/>
    </xf>
    <xf numFmtId="0" fontId="50" fillId="0" borderId="0" xfId="0" applyFont="1" applyAlignment="1">
      <alignment horizontal="justify" vertical="top" wrapText="1"/>
    </xf>
    <xf numFmtId="0" fontId="50" fillId="0" borderId="0" xfId="0" applyFont="1" applyAlignment="1">
      <alignment horizontal="left" indent="4"/>
    </xf>
    <xf numFmtId="0" fontId="50" fillId="0" borderId="0" xfId="0" applyFont="1" applyAlignment="1">
      <alignment horizontal="left" vertical="top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0" xfId="0" applyFont="1" applyAlignment="1">
      <alignment horizontal="left" wrapText="1"/>
    </xf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horizontal="justify"/>
    </xf>
    <xf numFmtId="0" fontId="50" fillId="0" borderId="0" xfId="0" applyFont="1" applyAlignment="1">
      <alignment horizontal="left" vertical="center" indent="4"/>
    </xf>
    <xf numFmtId="0" fontId="50" fillId="0" borderId="0" xfId="0" applyFont="1" applyAlignment="1">
      <alignment horizontal="left" vertical="center"/>
    </xf>
    <xf numFmtId="9" fontId="50" fillId="0" borderId="0" xfId="1" applyFont="1" applyAlignment="1">
      <alignment horizontal="left" vertical="top" wrapText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top" wrapText="1"/>
    </xf>
    <xf numFmtId="0" fontId="50" fillId="0" borderId="2" xfId="0" applyFont="1" applyBorder="1" applyAlignment="1">
      <alignment vertical="center"/>
    </xf>
    <xf numFmtId="0" fontId="50" fillId="0" borderId="4" xfId="0" applyFont="1" applyBorder="1" applyAlignment="1">
      <alignment vertical="top"/>
    </xf>
    <xf numFmtId="0" fontId="51" fillId="0" borderId="0" xfId="0" applyFont="1" applyAlignment="1">
      <alignment horizontal="center" vertical="center" wrapText="1"/>
    </xf>
    <xf numFmtId="0" fontId="51" fillId="0" borderId="0" xfId="0" applyFont="1"/>
    <xf numFmtId="0" fontId="50" fillId="0" borderId="0" xfId="0" applyFont="1" applyAlignment="1">
      <alignment vertical="center"/>
    </xf>
    <xf numFmtId="0" fontId="50" fillId="0" borderId="0" xfId="0" applyFont="1" applyAlignment="1">
      <alignment vertical="top"/>
    </xf>
    <xf numFmtId="9" fontId="50" fillId="0" borderId="0" xfId="1" applyFont="1" applyAlignment="1">
      <alignment vertical="top"/>
    </xf>
    <xf numFmtId="0" fontId="50" fillId="0" borderId="0" xfId="0" applyFont="1" applyAlignment="1">
      <alignment horizontal="center" wrapText="1"/>
    </xf>
    <xf numFmtId="0" fontId="50" fillId="0" borderId="1" xfId="0" applyFont="1" applyBorder="1"/>
    <xf numFmtId="0" fontId="50" fillId="0" borderId="1" xfId="0" applyFont="1" applyBorder="1" applyAlignment="1">
      <alignment horizontal="left"/>
    </xf>
    <xf numFmtId="0" fontId="27" fillId="0" borderId="0" xfId="0" applyFont="1" applyBorder="1" applyAlignment="1">
      <alignment horizontal="left" vertical="center" wrapText="1" indent="3"/>
    </xf>
    <xf numFmtId="0" fontId="24" fillId="0" borderId="0" xfId="5" applyFont="1" applyBorder="1" applyAlignment="1">
      <alignment horizontal="center" vertical="center"/>
    </xf>
    <xf numFmtId="3" fontId="24" fillId="0" borderId="0" xfId="5" applyNumberFormat="1" applyFont="1" applyBorder="1" applyAlignment="1">
      <alignment horizontal="center" vertical="center"/>
    </xf>
    <xf numFmtId="0" fontId="0" fillId="7" borderId="0" xfId="0" applyFill="1"/>
    <xf numFmtId="0" fontId="23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 wrapText="1"/>
    </xf>
    <xf numFmtId="168" fontId="8" fillId="0" borderId="46" xfId="0" applyNumberFormat="1" applyFont="1" applyFill="1" applyBorder="1"/>
    <xf numFmtId="168" fontId="83" fillId="0" borderId="0" xfId="0" applyNumberFormat="1" applyFont="1" applyFill="1" applyBorder="1"/>
    <xf numFmtId="0" fontId="8" fillId="3" borderId="7" xfId="0" applyFont="1" applyFill="1" applyBorder="1" applyAlignment="1">
      <alignment horizontal="left" vertical="center"/>
    </xf>
    <xf numFmtId="166" fontId="8" fillId="3" borderId="7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7" xfId="0" applyNumberFormat="1" applyFont="1" applyBorder="1" applyAlignment="1">
      <alignment horizontal="center" vertical="center"/>
    </xf>
    <xf numFmtId="0" fontId="84" fillId="0" borderId="47" xfId="0" applyFont="1" applyBorder="1" applyAlignment="1">
      <alignment vertical="center" wrapText="1"/>
    </xf>
    <xf numFmtId="0" fontId="84" fillId="0" borderId="47" xfId="0" applyFont="1" applyBorder="1" applyAlignment="1">
      <alignment wrapText="1"/>
    </xf>
    <xf numFmtId="0" fontId="0" fillId="0" borderId="0" xfId="0" applyAlignment="1">
      <alignment vertical="center" wrapText="1"/>
    </xf>
    <xf numFmtId="0" fontId="87" fillId="0" borderId="47" xfId="0" applyFont="1" applyBorder="1" applyAlignment="1">
      <alignment vertical="center" wrapText="1"/>
    </xf>
    <xf numFmtId="0" fontId="50" fillId="0" borderId="48" xfId="0" applyFont="1" applyBorder="1" applyAlignment="1">
      <alignment vertical="center" wrapText="1"/>
    </xf>
    <xf numFmtId="0" fontId="50" fillId="0" borderId="49" xfId="0" applyFont="1" applyBorder="1" applyAlignment="1">
      <alignment vertical="center" wrapText="1"/>
    </xf>
    <xf numFmtId="0" fontId="50" fillId="0" borderId="50" xfId="0" applyFont="1" applyBorder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0" fontId="85" fillId="0" borderId="0" xfId="0" applyFont="1" applyAlignment="1">
      <alignment vertical="center" wrapText="1"/>
    </xf>
    <xf numFmtId="171" fontId="0" fillId="0" borderId="0" xfId="0" applyNumberFormat="1"/>
    <xf numFmtId="0" fontId="81" fillId="0" borderId="0" xfId="0" applyFont="1" applyAlignment="1">
      <alignment horizontal="left" vertical="top" wrapText="1"/>
    </xf>
    <xf numFmtId="0" fontId="50" fillId="0" borderId="1" xfId="0" applyFont="1" applyBorder="1" applyAlignment="1">
      <alignment horizontal="center"/>
    </xf>
    <xf numFmtId="0" fontId="50" fillId="0" borderId="0" xfId="0" applyFont="1" applyAlignment="1">
      <alignment horizontal="justify" vertical="top" wrapText="1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top"/>
    </xf>
    <xf numFmtId="0" fontId="50" fillId="0" borderId="2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left" vertical="center"/>
    </xf>
    <xf numFmtId="0" fontId="50" fillId="0" borderId="2" xfId="0" applyFont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top"/>
    </xf>
    <xf numFmtId="0" fontId="50" fillId="0" borderId="6" xfId="0" applyFont="1" applyBorder="1" applyAlignment="1">
      <alignment horizontal="center" vertical="top"/>
    </xf>
    <xf numFmtId="0" fontId="50" fillId="0" borderId="5" xfId="0" applyFont="1" applyBorder="1" applyAlignment="1">
      <alignment horizontal="center" vertical="top"/>
    </xf>
    <xf numFmtId="0" fontId="51" fillId="0" borderId="4" xfId="0" applyFont="1" applyBorder="1" applyAlignment="1">
      <alignment horizontal="center" vertical="top" wrapText="1"/>
    </xf>
    <xf numFmtId="0" fontId="51" fillId="0" borderId="6" xfId="0" applyFont="1" applyBorder="1" applyAlignment="1">
      <alignment horizontal="center" vertical="top" wrapText="1"/>
    </xf>
    <xf numFmtId="0" fontId="51" fillId="0" borderId="5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left" vertical="top" wrapText="1"/>
    </xf>
    <xf numFmtId="0" fontId="50" fillId="0" borderId="6" xfId="0" applyFont="1" applyBorder="1" applyAlignment="1">
      <alignment horizontal="left" vertical="top" wrapText="1"/>
    </xf>
    <xf numFmtId="0" fontId="50" fillId="0" borderId="5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center" vertical="top" wrapText="1"/>
    </xf>
    <xf numFmtId="0" fontId="50" fillId="0" borderId="23" xfId="0" applyFont="1" applyBorder="1" applyAlignment="1">
      <alignment horizontal="center" vertical="top" wrapText="1"/>
    </xf>
    <xf numFmtId="0" fontId="50" fillId="0" borderId="15" xfId="0" applyFont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top" wrapText="1"/>
    </xf>
    <xf numFmtId="0" fontId="50" fillId="0" borderId="3" xfId="0" applyFont="1" applyBorder="1" applyAlignment="1">
      <alignment horizontal="left" vertical="top" wrapText="1"/>
    </xf>
    <xf numFmtId="0" fontId="50" fillId="0" borderId="22" xfId="0" applyFont="1" applyBorder="1" applyAlignment="1">
      <alignment horizontal="left" vertical="top" wrapText="1"/>
    </xf>
    <xf numFmtId="0" fontId="50" fillId="0" borderId="39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50" fillId="0" borderId="23" xfId="0" applyFont="1" applyBorder="1" applyAlignment="1">
      <alignment horizontal="left" vertical="top" wrapText="1"/>
    </xf>
    <xf numFmtId="0" fontId="50" fillId="0" borderId="4" xfId="0" applyFont="1" applyBorder="1" applyAlignment="1">
      <alignment horizontal="left" vertical="center"/>
    </xf>
    <xf numFmtId="0" fontId="50" fillId="0" borderId="6" xfId="0" applyFont="1" applyBorder="1" applyAlignment="1">
      <alignment horizontal="left" vertical="center"/>
    </xf>
    <xf numFmtId="0" fontId="50" fillId="0" borderId="5" xfId="0" applyFont="1" applyBorder="1" applyAlignment="1">
      <alignment horizontal="left" vertical="center"/>
    </xf>
    <xf numFmtId="0" fontId="50" fillId="0" borderId="4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top" wrapText="1"/>
    </xf>
    <xf numFmtId="0" fontId="50" fillId="0" borderId="5" xfId="0" applyFont="1" applyBorder="1" applyAlignment="1">
      <alignment horizontal="center" vertical="top" wrapText="1"/>
    </xf>
    <xf numFmtId="3" fontId="50" fillId="0" borderId="2" xfId="0" applyNumberFormat="1" applyFont="1" applyBorder="1" applyAlignment="1">
      <alignment horizontal="left" vertical="center"/>
    </xf>
    <xf numFmtId="0" fontId="50" fillId="0" borderId="6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left" vertical="top"/>
    </xf>
    <xf numFmtId="0" fontId="50" fillId="0" borderId="6" xfId="0" applyFont="1" applyBorder="1" applyAlignment="1">
      <alignment horizontal="left" vertical="top"/>
    </xf>
    <xf numFmtId="0" fontId="50" fillId="0" borderId="5" xfId="0" applyFont="1" applyBorder="1" applyAlignment="1">
      <alignment horizontal="left" vertical="top"/>
    </xf>
    <xf numFmtId="0" fontId="50" fillId="0" borderId="3" xfId="0" applyFont="1" applyBorder="1" applyAlignment="1">
      <alignment horizontal="center" vertical="top"/>
    </xf>
    <xf numFmtId="0" fontId="50" fillId="0" borderId="21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0" fillId="0" borderId="22" xfId="0" applyFont="1" applyBorder="1" applyAlignment="1">
      <alignment horizontal="left" vertical="center" wrapText="1"/>
    </xf>
    <xf numFmtId="0" fontId="50" fillId="0" borderId="40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41" xfId="0" applyFont="1" applyBorder="1" applyAlignment="1">
      <alignment horizontal="left" vertical="center" wrapText="1"/>
    </xf>
    <xf numFmtId="0" fontId="50" fillId="0" borderId="39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left" vertical="top"/>
    </xf>
    <xf numFmtId="0" fontId="51" fillId="0" borderId="4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0" fillId="0" borderId="0" xfId="0" applyFont="1" applyAlignment="1">
      <alignment horizontal="justify"/>
    </xf>
    <xf numFmtId="0" fontId="50" fillId="0" borderId="0" xfId="0" applyFont="1" applyAlignment="1">
      <alignment horizontal="left" vertical="top" wrapText="1"/>
    </xf>
    <xf numFmtId="0" fontId="50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3" fontId="16" fillId="3" borderId="7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left"/>
    </xf>
    <xf numFmtId="3" fontId="8" fillId="3" borderId="7" xfId="0" applyNumberFormat="1" applyFont="1" applyFill="1" applyBorder="1" applyAlignment="1">
      <alignment horizontal="left" vertical="center"/>
    </xf>
    <xf numFmtId="0" fontId="8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8" fillId="3" borderId="7" xfId="0" applyFont="1" applyFill="1" applyBorder="1" applyAlignment="1">
      <alignment horizontal="left" vertical="center"/>
    </xf>
    <xf numFmtId="168" fontId="8" fillId="0" borderId="0" xfId="0" applyNumberFormat="1" applyFont="1" applyFill="1" applyBorder="1" applyAlignment="1">
      <alignment horizontal="left" vertical="center"/>
    </xf>
    <xf numFmtId="0" fontId="33" fillId="0" borderId="0" xfId="2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center" vertical="top"/>
      <protection locked="0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justify"/>
    </xf>
    <xf numFmtId="0" fontId="8" fillId="3" borderId="25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justify" vertical="top" wrapText="1"/>
    </xf>
    <xf numFmtId="0" fontId="20" fillId="0" borderId="0" xfId="0" applyFont="1" applyAlignment="1" applyProtection="1">
      <alignment horizontal="justify" vertical="top" wrapText="1"/>
      <protection locked="0"/>
    </xf>
    <xf numFmtId="0" fontId="16" fillId="0" borderId="7" xfId="0" applyFont="1" applyFill="1" applyBorder="1" applyAlignment="1">
      <alignment horizontal="center"/>
    </xf>
    <xf numFmtId="0" fontId="21" fillId="0" borderId="2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3" borderId="2" xfId="5" applyFont="1" applyFill="1" applyBorder="1" applyAlignment="1">
      <alignment horizontal="center" vertical="center"/>
    </xf>
    <xf numFmtId="0" fontId="23" fillId="0" borderId="0" xfId="5" applyFont="1" applyAlignment="1">
      <alignment horizontal="center" wrapText="1"/>
    </xf>
    <xf numFmtId="0" fontId="24" fillId="0" borderId="1" xfId="5" applyFont="1" applyBorder="1" applyAlignment="1">
      <alignment horizontal="center"/>
    </xf>
    <xf numFmtId="0" fontId="23" fillId="0" borderId="2" xfId="5" applyFont="1" applyBorder="1" applyAlignment="1">
      <alignment horizontal="center" vertical="center" wrapText="1"/>
    </xf>
    <xf numFmtId="0" fontId="23" fillId="0" borderId="2" xfId="5" applyFont="1" applyBorder="1" applyAlignment="1">
      <alignment horizontal="center" wrapText="1"/>
    </xf>
    <xf numFmtId="0" fontId="40" fillId="0" borderId="0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86" fillId="0" borderId="51" xfId="0" applyFont="1" applyBorder="1" applyAlignment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0" fontId="89" fillId="0" borderId="0" xfId="0" applyFont="1" applyAlignment="1">
      <alignment vertical="center" wrapText="1"/>
    </xf>
    <xf numFmtId="0" fontId="90" fillId="9" borderId="52" xfId="0" applyFont="1" applyFill="1" applyBorder="1" applyAlignment="1">
      <alignment horizontal="center" vertical="center" wrapText="1"/>
    </xf>
    <xf numFmtId="0" fontId="90" fillId="9" borderId="53" xfId="0" applyFont="1" applyFill="1" applyBorder="1" applyAlignment="1">
      <alignment horizontal="center" vertical="center" wrapText="1"/>
    </xf>
    <xf numFmtId="0" fontId="91" fillId="9" borderId="54" xfId="0" applyFont="1" applyFill="1" applyBorder="1" applyAlignment="1">
      <alignment vertical="center" wrapText="1"/>
    </xf>
    <xf numFmtId="0" fontId="91" fillId="9" borderId="55" xfId="0" applyFont="1" applyFill="1" applyBorder="1" applyAlignment="1">
      <alignment vertical="center" wrapText="1"/>
    </xf>
    <xf numFmtId="0" fontId="1" fillId="9" borderId="55" xfId="0" applyFont="1" applyFill="1" applyBorder="1" applyAlignment="1">
      <alignment vertical="center" wrapText="1"/>
    </xf>
    <xf numFmtId="0" fontId="91" fillId="9" borderId="56" xfId="0" applyFont="1" applyFill="1" applyBorder="1" applyAlignment="1">
      <alignment vertical="center" wrapText="1"/>
    </xf>
    <xf numFmtId="0" fontId="4" fillId="9" borderId="50" xfId="2" applyFill="1" applyBorder="1" applyAlignment="1">
      <alignment vertical="center" wrapText="1"/>
    </xf>
  </cellXfs>
  <cellStyles count="7">
    <cellStyle name="Normal 2 2" xfId="6"/>
    <cellStyle name="Гиперссылка" xfId="2" builtinId="8"/>
    <cellStyle name="Обычный" xfId="0" builtinId="0"/>
    <cellStyle name="Обычный 2" xfId="4"/>
    <cellStyle name="Обычный 3" xfId="5"/>
    <cellStyle name="Процентный" xfId="1" builtinId="5"/>
    <cellStyle name="Процентный 2" xfId="3"/>
  </cellStyles>
  <dxfs count="25">
    <dxf>
      <font>
        <color rgb="FF9C0006"/>
      </font>
      <fill>
        <patternFill>
          <bgColor rgb="FFFFC7CE"/>
        </patternFill>
      </fill>
    </dxf>
    <dxf>
      <fill>
        <patternFill patternType="lightDown">
          <fgColor theme="9" tint="0.39994506668294322"/>
          <bgColor auto="1"/>
        </patternFill>
      </fill>
    </dxf>
    <dxf>
      <fill>
        <patternFill patternType="lightDown">
          <fgColor theme="4" tint="0.3999450666829432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ont>
        <color auto="1"/>
      </font>
    </dxf>
    <dxf>
      <font>
        <color rgb="FFC00000"/>
      </font>
      <fill>
        <patternFill patternType="lightDown">
          <fgColor rgb="FFFFD1D1"/>
          <bgColor rgb="FFFFF7F7"/>
        </patternFill>
      </fill>
    </dxf>
    <dxf>
      <fill>
        <patternFill patternType="lightDown">
          <fgColor theme="9" tint="0.59996337778862885"/>
          <bgColor rgb="FFF1F7ED"/>
        </patternFill>
      </fill>
    </dxf>
    <dxf>
      <font>
        <color theme="9" tint="-0.499984740745262"/>
      </font>
    </dxf>
    <dxf>
      <font>
        <color rgb="FFC00000"/>
      </font>
    </dxf>
    <dxf>
      <font>
        <b val="0"/>
        <i val="0"/>
        <color theme="8" tint="-0.499984740745262"/>
      </font>
    </dxf>
    <dxf>
      <font>
        <color theme="9" tint="-0.499984740745262"/>
      </font>
    </dxf>
    <dxf>
      <font>
        <color rgb="FFC00000"/>
      </font>
    </dxf>
    <dxf>
      <font>
        <b val="0"/>
        <i val="0"/>
        <color theme="8" tint="-0.499984740745262"/>
      </font>
    </dxf>
    <dxf>
      <font>
        <color rgb="FFC00000"/>
      </font>
      <fill>
        <patternFill patternType="lightDown">
          <fgColor rgb="FFFFD1D1"/>
          <bgColor rgb="FFFFF7F7"/>
        </patternFill>
      </fill>
    </dxf>
    <dxf>
      <fill>
        <patternFill patternType="lightDown">
          <fgColor theme="9" tint="0.59996337778862885"/>
          <bgColor rgb="FFF1F7ED"/>
        </patternFill>
      </fill>
    </dxf>
    <dxf>
      <font>
        <color auto="1"/>
      </font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</dxf>
    <dxf>
      <font>
        <color rgb="FFC00000"/>
      </font>
      <fill>
        <patternFill patternType="lightDown">
          <fgColor rgb="FFFFD1D1"/>
          <bgColor rgb="FFFFF7F7"/>
        </patternFill>
      </fill>
    </dxf>
    <dxf>
      <fill>
        <patternFill patternType="lightDown">
          <fgColor theme="9" tint="0.59996337778862885"/>
          <bgColor rgb="FFF1F7ED"/>
        </patternFill>
      </fill>
    </dxf>
    <dxf>
      <font>
        <color theme="0"/>
      </font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9393"/>
      <color rgb="FFF1F7ED"/>
      <color rgb="FFD9EBCD"/>
      <color rgb="FFFFD1D1"/>
      <color rgb="FFFFD5D5"/>
      <color rgb="FFFFD9D9"/>
      <color rgb="FFFFF7F7"/>
      <color rgb="FFFFE7E7"/>
      <color rgb="FFFFA3A3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ИСТОЧНИКИ ФИНАНСИРОВАНИЯ ИНВЕСТИЦИЙ ПО</a:t>
            </a:r>
            <a:r>
              <a:rPr lang="ru-RU" sz="11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ГОДАМ</a:t>
            </a:r>
            <a:endParaRPr lang="ru-RU" sz="1100" b="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30453839547838318"/>
          <c:y val="4.2361491187663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202678033913078"/>
          <c:y val="0.14204225363415601"/>
          <c:w val="0.79233094900747258"/>
          <c:h val="0.3668792241997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Финансирование!$A$6</c:f>
              <c:strCache>
                <c:ptCount val="1"/>
                <c:pt idx="0">
                  <c:v>Собственные средства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Финансирование!$F$6:$O$6</c:f>
              <c:numCache>
                <c:formatCode>#\ ##0_);\(#\ ##0\);\-_);@</c:formatCode>
                <c:ptCount val="10"/>
                <c:pt idx="0">
                  <c:v>31000</c:v>
                </c:pt>
                <c:pt idx="1">
                  <c:v>90000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F-4DF8-9787-41A3D9D7967C}"/>
            </c:ext>
          </c:extLst>
        </c:ser>
        <c:ser>
          <c:idx val="2"/>
          <c:order val="1"/>
          <c:tx>
            <c:strRef>
              <c:f>Финансирование!$A$7</c:f>
              <c:strCache>
                <c:ptCount val="1"/>
                <c:pt idx="0">
                  <c:v>Заемные средства (коммерческий кредит)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Финансирование!$F$7:$O$7</c:f>
              <c:numCache>
                <c:formatCode>#\ ##0_);\(#\ ##0\);\-_);@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5-41E4-BC84-A9A37FAD2733}"/>
            </c:ext>
          </c:extLst>
        </c:ser>
        <c:ser>
          <c:idx val="3"/>
          <c:order val="2"/>
          <c:tx>
            <c:strRef>
              <c:f>Финансирование!$A$8</c:f>
              <c:strCache>
                <c:ptCount val="1"/>
                <c:pt idx="0">
                  <c:v>Заемные средства (льготный кредит - ФРМ и др.)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Финансирование!$F$8:$O$8</c:f>
              <c:numCache>
                <c:formatCode>#\ ##0_);\(#\ ##0\);\-_);@</c:formatCode>
                <c:ptCount val="10"/>
                <c:pt idx="0">
                  <c:v>30000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5-41E4-BC84-A9A37FAD2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418496"/>
        <c:axId val="123420032"/>
      </c:barChart>
      <c:catAx>
        <c:axId val="123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420032"/>
        <c:crosses val="autoZero"/>
        <c:auto val="1"/>
        <c:lblAlgn val="ctr"/>
        <c:lblOffset val="100"/>
        <c:noMultiLvlLbl val="0"/>
      </c:catAx>
      <c:valAx>
        <c:axId val="12342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7EEF5"/>
              </a:solidFill>
              <a:round/>
            </a:ln>
            <a:effectLst/>
          </c:spPr>
        </c:majorGridlines>
        <c:numFmt formatCode="#\ ##0_);\(#\ ##0\);\-_)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4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6259435291460463E-2"/>
          <c:y val="0.65477853195665825"/>
          <c:w val="0.65158826204744502"/>
          <c:h val="0.20178830810516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ВЫПЛАТЫ</a:t>
            </a:r>
            <a:r>
              <a:rPr lang="ru-RU" sz="11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ПО КОММЕРЧЕСКОМУ КРЕДИТУ</a:t>
            </a:r>
            <a:endParaRPr lang="ru-RU" sz="1100" b="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6335563592893257"/>
          <c:y val="4.5195624366925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Финансирование!$A$23</c:f>
              <c:strCache>
                <c:ptCount val="1"/>
                <c:pt idx="0">
                  <c:v>Погашение процентов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Финансирование!$F$23:$O$23</c:f>
              <c:numCache>
                <c:formatCode>#\ ##0_);\(#\ ##0\);\-_);@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D19-9111-3375867A0E01}"/>
            </c:ext>
          </c:extLst>
        </c:ser>
        <c:ser>
          <c:idx val="1"/>
          <c:order val="1"/>
          <c:tx>
            <c:strRef>
              <c:f>Финансирование!$A$24</c:f>
              <c:strCache>
                <c:ptCount val="1"/>
                <c:pt idx="0">
                  <c:v>Погашение осн.суммы долга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Финансирование!$F$24:$O$24</c:f>
              <c:numCache>
                <c:formatCode>#\ ##0_);\(#\ ##0\);\-_);@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D19-9111-3375867A0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227008"/>
        <c:axId val="127228544"/>
      </c:barChart>
      <c:catAx>
        <c:axId val="1272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28544"/>
        <c:crosses val="autoZero"/>
        <c:auto val="1"/>
        <c:lblAlgn val="ctr"/>
        <c:lblOffset val="100"/>
        <c:noMultiLvlLbl val="0"/>
      </c:catAx>
      <c:valAx>
        <c:axId val="127228544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rgbClr val="E7EEF5"/>
              </a:solidFill>
              <a:round/>
            </a:ln>
            <a:effectLst/>
          </c:spPr>
        </c:majorGridlines>
        <c:numFmt formatCode="#\ ##0_);\(#\ ##0\);\-_)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2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ВЫПЛАТЫ</a:t>
            </a:r>
            <a:r>
              <a:rPr lang="ru-RU" sz="11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ПО ЛЬГОТНОМУ КРЕДИТУ</a:t>
            </a:r>
            <a:endParaRPr lang="ru-RU" sz="1100" b="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6335562729537226"/>
          <c:y val="6.3475210311021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7447900665037529E-2"/>
          <c:y val="0.2219749229235414"/>
          <c:w val="0.87613966261278975"/>
          <c:h val="0.571617535721927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Финансирование!$A$41</c:f>
              <c:strCache>
                <c:ptCount val="1"/>
                <c:pt idx="0">
                  <c:v>Погашение процентов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Финансирование!$F$41:$O$41</c:f>
              <c:numCache>
                <c:formatCode>#\ ##0_);\(#\ ##0\);\-_);@</c:formatCode>
                <c:ptCount val="10"/>
                <c:pt idx="0">
                  <c:v>-1500</c:v>
                </c:pt>
                <c:pt idx="1">
                  <c:v>-2500</c:v>
                </c:pt>
                <c:pt idx="2">
                  <c:v>-2500</c:v>
                </c:pt>
                <c:pt idx="3">
                  <c:v>-1706.9785884218882</c:v>
                </c:pt>
                <c:pt idx="4">
                  <c:v>-874.30610626487021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F-42AD-86B8-EE7AF554AC80}"/>
            </c:ext>
          </c:extLst>
        </c:ser>
        <c:ser>
          <c:idx val="1"/>
          <c:order val="1"/>
          <c:tx>
            <c:strRef>
              <c:f>Финансирование!$A$42</c:f>
              <c:strCache>
                <c:ptCount val="1"/>
                <c:pt idx="0">
                  <c:v>Погашение осн.суммы долга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Финансирование!$F$1:$O$1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Финансирование!$F$42:$O$42</c:f>
              <c:numCache>
                <c:formatCode>#\ ##0_);\(#\ ##0\);\-_);@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-15860.428231562244</c:v>
                </c:pt>
                <c:pt idx="3">
                  <c:v>-16653.449643140357</c:v>
                </c:pt>
                <c:pt idx="4">
                  <c:v>-17486.122125297374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F-42AD-86B8-EE7AF554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263104"/>
        <c:axId val="127264640"/>
      </c:barChart>
      <c:catAx>
        <c:axId val="127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64640"/>
        <c:crosses val="autoZero"/>
        <c:auto val="1"/>
        <c:lblAlgn val="ctr"/>
        <c:lblOffset val="100"/>
        <c:noMultiLvlLbl val="0"/>
      </c:catAx>
      <c:valAx>
        <c:axId val="127264640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rgbClr val="E7EEF5"/>
              </a:solidFill>
              <a:round/>
            </a:ln>
            <a:effectLst/>
          </c:spPr>
        </c:majorGridlines>
        <c:numFmt formatCode="#\ ##0_);\(#\ ##0\);\-_)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>
                <a:solidFill>
                  <a:schemeClr val="tx1">
                    <a:lumMod val="50000"/>
                    <a:lumOff val="50000"/>
                  </a:schemeClr>
                </a:solidFill>
              </a:rPr>
              <a:t>СТРУКТУРА</a:t>
            </a:r>
            <a:r>
              <a:rPr lang="ru-RU" sz="110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ФИНАНСИРОВАНИЯ</a:t>
            </a:r>
            <a:endParaRPr lang="ru-RU" sz="110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8852003500924505E-2"/>
          <c:y val="0.21320104092552711"/>
          <c:w val="0.35865561318592298"/>
          <c:h val="0.668268730324265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EF-4CCE-A440-4AD2F0CAC44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EF-4CCE-A440-4AD2F0CAC442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A02-4979-91E7-88AE1A4497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Финансирование!$A$6:$A$8</c:f>
              <c:strCache>
                <c:ptCount val="3"/>
                <c:pt idx="0">
                  <c:v>Собственные средства</c:v>
                </c:pt>
                <c:pt idx="1">
                  <c:v>Заемные средства (коммерческий кредит)</c:v>
                </c:pt>
                <c:pt idx="2">
                  <c:v>Заемные средства (льготный кредит - ФРМ и др.)</c:v>
                </c:pt>
              </c:strCache>
            </c:strRef>
          </c:cat>
          <c:val>
            <c:numRef>
              <c:f>Финансирование!$P$6:$P$8</c:f>
              <c:numCache>
                <c:formatCode>#\ ##0_);\(#\ ##0\);\-_);@</c:formatCode>
                <c:ptCount val="3"/>
                <c:pt idx="0">
                  <c:v>123000</c:v>
                </c:pt>
                <c:pt idx="1">
                  <c:v>0</c:v>
                </c:pt>
                <c:pt idx="2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979-91E7-88AE1A449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73448525717841"/>
          <c:y val="0.36555135546490014"/>
          <c:w val="0.53969810280105368"/>
          <c:h val="0.31435924186284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Radio" firstButton="1" fmlaLink="$B$390" lockText="1"/>
</file>

<file path=xl/ctrlProps/ctrlProp11.xml><?xml version="1.0" encoding="utf-8"?>
<formControlPr xmlns="http://schemas.microsoft.com/office/spreadsheetml/2009/9/main" objectType="Radio" checked="Checked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29</xdr:row>
          <xdr:rowOff>76200</xdr:rowOff>
        </xdr:from>
        <xdr:to>
          <xdr:col>7</xdr:col>
          <xdr:colOff>723900</xdr:colOff>
          <xdr:row>29</xdr:row>
          <xdr:rowOff>333375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30</xdr:row>
          <xdr:rowOff>66675</xdr:rowOff>
        </xdr:from>
        <xdr:to>
          <xdr:col>7</xdr:col>
          <xdr:colOff>733425</xdr:colOff>
          <xdr:row>30</xdr:row>
          <xdr:rowOff>314325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32</xdr:row>
          <xdr:rowOff>219075</xdr:rowOff>
        </xdr:from>
        <xdr:to>
          <xdr:col>2</xdr:col>
          <xdr:colOff>533400</xdr:colOff>
          <xdr:row>34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33</xdr:row>
          <xdr:rowOff>228600</xdr:rowOff>
        </xdr:from>
        <xdr:to>
          <xdr:col>2</xdr:col>
          <xdr:colOff>523875</xdr:colOff>
          <xdr:row>35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34</xdr:row>
          <xdr:rowOff>238125</xdr:rowOff>
        </xdr:from>
        <xdr:to>
          <xdr:col>2</xdr:col>
          <xdr:colOff>523875</xdr:colOff>
          <xdr:row>36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228600</xdr:rowOff>
        </xdr:from>
        <xdr:to>
          <xdr:col>7</xdr:col>
          <xdr:colOff>723900</xdr:colOff>
          <xdr:row>44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43</xdr:row>
          <xdr:rowOff>228600</xdr:rowOff>
        </xdr:from>
        <xdr:to>
          <xdr:col>7</xdr:col>
          <xdr:colOff>723900</xdr:colOff>
          <xdr:row>45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228600</xdr:rowOff>
        </xdr:from>
        <xdr:to>
          <xdr:col>7</xdr:col>
          <xdr:colOff>723900</xdr:colOff>
          <xdr:row>46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46</xdr:row>
          <xdr:rowOff>0</xdr:rowOff>
        </xdr:from>
        <xdr:to>
          <xdr:col>7</xdr:col>
          <xdr:colOff>723900</xdr:colOff>
          <xdr:row>47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387</xdr:row>
          <xdr:rowOff>66675</xdr:rowOff>
        </xdr:from>
        <xdr:to>
          <xdr:col>1</xdr:col>
          <xdr:colOff>847725</xdr:colOff>
          <xdr:row>388</xdr:row>
          <xdr:rowOff>85725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ручной ввод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388</xdr:row>
          <xdr:rowOff>66675</xdr:rowOff>
        </xdr:from>
        <xdr:to>
          <xdr:col>1</xdr:col>
          <xdr:colOff>1676400</xdr:colOff>
          <xdr:row>389</xdr:row>
          <xdr:rowOff>104775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расчетное значение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645937</xdr:colOff>
      <xdr:row>48</xdr:row>
      <xdr:rowOff>168087</xdr:rowOff>
    </xdr:from>
    <xdr:to>
      <xdr:col>15</xdr:col>
      <xdr:colOff>0</xdr:colOff>
      <xdr:row>65</xdr:row>
      <xdr:rowOff>168087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260936</xdr:colOff>
      <xdr:row>66</xdr:row>
      <xdr:rowOff>123264</xdr:rowOff>
    </xdr:from>
    <xdr:to>
      <xdr:col>2</xdr:col>
      <xdr:colOff>659544</xdr:colOff>
      <xdr:row>77</xdr:row>
      <xdr:rowOff>22411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392209</xdr:colOff>
      <xdr:row>66</xdr:row>
      <xdr:rowOff>67234</xdr:rowOff>
    </xdr:from>
    <xdr:to>
      <xdr:col>13</xdr:col>
      <xdr:colOff>459443</xdr:colOff>
      <xdr:row>77</xdr:row>
      <xdr:rowOff>56028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151279</xdr:colOff>
      <xdr:row>49</xdr:row>
      <xdr:rowOff>57152</xdr:rowOff>
    </xdr:from>
    <xdr:to>
      <xdr:col>2</xdr:col>
      <xdr:colOff>649941</xdr:colOff>
      <xdr:row>63</xdr:row>
      <xdr:rowOff>67235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egrp365.ru/map/?kadnum=59:13:0060111:149&amp;ref=bq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stern.nyu.edu/~adamodar/pc/datasets/histretSP.xl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permstat.gks.ru/folder/33461" TargetMode="External"/><Relationship Id="rId1" Type="http://schemas.openxmlformats.org/officeDocument/2006/relationships/hyperlink" Target="https://economy.gov.ru/material/directions/makroec/prognozy_socialno_ekonomicheskogo_razvitiya/" TargetMode="External"/><Relationship Id="rId6" Type="http://schemas.openxmlformats.org/officeDocument/2006/relationships/hyperlink" Target="https://www.cbr.ru/hd_base/zcyc_params/" TargetMode="External"/><Relationship Id="rId11" Type="http://schemas.openxmlformats.org/officeDocument/2006/relationships/ctrlProp" Target="../ctrlProps/ctrlProp11.xml"/><Relationship Id="rId5" Type="http://schemas.openxmlformats.org/officeDocument/2006/relationships/hyperlink" Target="http://www.stern.nyu.edu/~adamodar/pc/datasets/betaemerg.xls" TargetMode="External"/><Relationship Id="rId10" Type="http://schemas.openxmlformats.org/officeDocument/2006/relationships/ctrlProp" Target="../ctrlProps/ctrlProp10.xml"/><Relationship Id="rId4" Type="http://schemas.openxmlformats.org/officeDocument/2006/relationships/hyperlink" Target="http://www.stern.nyu.edu/~adamodar/pc/datasets/ctryprem.xlsx" TargetMode="External"/><Relationship Id="rId9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D10"/>
  <sheetViews>
    <sheetView showGridLines="0" view="pageBreakPreview" zoomScaleNormal="100" zoomScaleSheetLayoutView="100" workbookViewId="0">
      <selection activeCell="C7" sqref="C7"/>
    </sheetView>
  </sheetViews>
  <sheetFormatPr defaultColWidth="8.85546875" defaultRowHeight="15" x14ac:dyDescent="0.25"/>
  <cols>
    <col min="3" max="3" width="82.42578125" customWidth="1"/>
    <col min="4" max="4" width="15.7109375" customWidth="1"/>
  </cols>
  <sheetData>
    <row r="2" spans="2:4" ht="15.75" thickBot="1" x14ac:dyDescent="0.3"/>
    <row r="3" spans="2:4" ht="29.25" thickBot="1" x14ac:dyDescent="0.3">
      <c r="B3" s="572" t="s">
        <v>509</v>
      </c>
      <c r="C3" s="574" t="s">
        <v>511</v>
      </c>
      <c r="D3" s="577" t="s">
        <v>512</v>
      </c>
    </row>
    <row r="4" spans="2:4" ht="30.75" thickBot="1" x14ac:dyDescent="0.3">
      <c r="B4" s="573">
        <v>1</v>
      </c>
      <c r="C4" s="575" t="s">
        <v>513</v>
      </c>
      <c r="D4" s="576"/>
    </row>
    <row r="5" spans="2:4" ht="59.25" thickBot="1" x14ac:dyDescent="0.3">
      <c r="B5" s="573" t="s">
        <v>510</v>
      </c>
      <c r="C5" s="575" t="s">
        <v>514</v>
      </c>
      <c r="D5" s="576"/>
    </row>
    <row r="6" spans="2:4" ht="45.75" thickBot="1" x14ac:dyDescent="0.3">
      <c r="B6" s="573">
        <v>3</v>
      </c>
      <c r="C6" s="575" t="s">
        <v>515</v>
      </c>
      <c r="D6" s="576"/>
    </row>
    <row r="7" spans="2:4" ht="15.75" thickBot="1" x14ac:dyDescent="0.3">
      <c r="B7" s="573">
        <v>4</v>
      </c>
      <c r="C7" s="575" t="s">
        <v>516</v>
      </c>
      <c r="D7" s="576"/>
    </row>
    <row r="9" spans="2:4" x14ac:dyDescent="0.25">
      <c r="B9" s="594" t="s">
        <v>517</v>
      </c>
      <c r="C9" s="594"/>
      <c r="D9" s="594"/>
    </row>
    <row r="10" spans="2:4" ht="222" customHeight="1" x14ac:dyDescent="0.25">
      <c r="B10" s="594"/>
      <c r="C10" s="594"/>
      <c r="D10" s="594"/>
    </row>
  </sheetData>
  <mergeCells count="1">
    <mergeCell ref="B9:D10"/>
  </mergeCells>
  <pageMargins left="0.7" right="0.7" top="0.75" bottom="0.75" header="0.3" footer="0.3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46"/>
  <sheetViews>
    <sheetView showGridLines="0" zoomScale="85" zoomScaleNormal="85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H46" sqref="H46"/>
    </sheetView>
  </sheetViews>
  <sheetFormatPr defaultColWidth="8.85546875" defaultRowHeight="15" x14ac:dyDescent="0.25"/>
  <cols>
    <col min="1" max="1" width="2.42578125" customWidth="1"/>
    <col min="2" max="2" width="63.42578125" style="29" customWidth="1"/>
    <col min="3" max="3" width="11.7109375" style="29" customWidth="1"/>
    <col min="4" max="4" width="11" style="29" customWidth="1"/>
    <col min="5" max="5" width="2.7109375" style="29" customWidth="1"/>
    <col min="6" max="16" width="9.140625" style="29"/>
    <col min="17" max="17" width="10.7109375" style="343" customWidth="1"/>
  </cols>
  <sheetData>
    <row r="1" spans="2:17" x14ac:dyDescent="0.25">
      <c r="F1" s="250" t="s">
        <v>52</v>
      </c>
      <c r="G1" s="250">
        <f>Предпосылки!G24</f>
        <v>2022</v>
      </c>
      <c r="H1" s="250">
        <f>Предпосылки!H24</f>
        <v>2023</v>
      </c>
      <c r="I1" s="250">
        <f>Предпосылки!I24</f>
        <v>2024</v>
      </c>
      <c r="J1" s="250">
        <f>Предпосылки!J24</f>
        <v>2025</v>
      </c>
      <c r="K1" s="250">
        <f>Предпосылки!K24</f>
        <v>2026</v>
      </c>
      <c r="L1" s="250">
        <f>Предпосылки!L24</f>
        <v>2027</v>
      </c>
      <c r="M1" s="250">
        <f>Предпосылки!M24</f>
        <v>2028</v>
      </c>
      <c r="N1" s="250">
        <f>Предпосылки!N24</f>
        <v>2029</v>
      </c>
      <c r="O1" s="250">
        <f>Предпосылки!O24</f>
        <v>2030</v>
      </c>
      <c r="P1" s="250">
        <f>Предпосылки!P24</f>
        <v>2031</v>
      </c>
      <c r="Q1" s="343" t="s">
        <v>6</v>
      </c>
    </row>
    <row r="2" spans="2:17" x14ac:dyDescent="0.25">
      <c r="F2" s="250"/>
      <c r="G2" s="4">
        <v>1</v>
      </c>
      <c r="H2" s="4">
        <v>2</v>
      </c>
      <c r="I2" s="4">
        <v>3</v>
      </c>
      <c r="J2" s="4">
        <v>4</v>
      </c>
      <c r="K2" s="4">
        <v>5</v>
      </c>
      <c r="L2" s="4">
        <v>6</v>
      </c>
      <c r="M2" s="4">
        <v>7</v>
      </c>
      <c r="N2" s="4">
        <v>8</v>
      </c>
      <c r="O2" s="4">
        <v>9</v>
      </c>
      <c r="P2" s="4">
        <v>10</v>
      </c>
    </row>
    <row r="3" spans="2:17" x14ac:dyDescent="0.25">
      <c r="B3" s="189" t="s">
        <v>255</v>
      </c>
      <c r="C3" s="189"/>
      <c r="D3" s="189"/>
      <c r="E3" s="251"/>
      <c r="F3" s="252"/>
      <c r="G3" s="252"/>
      <c r="H3" s="253"/>
      <c r="I3" s="252"/>
      <c r="J3" s="252"/>
      <c r="K3" s="253"/>
      <c r="L3" s="252"/>
      <c r="M3" s="252"/>
      <c r="N3" s="253"/>
      <c r="O3" s="252"/>
      <c r="P3" s="252"/>
      <c r="Q3" s="346"/>
    </row>
    <row r="5" spans="2:17" x14ac:dyDescent="0.25">
      <c r="B5" s="254" t="s">
        <v>16</v>
      </c>
    </row>
    <row r="6" spans="2:17" x14ac:dyDescent="0.25">
      <c r="B6" s="29" t="s">
        <v>301</v>
      </c>
      <c r="D6" s="277">
        <f>Предпосылки!G280</f>
        <v>90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2:17" x14ac:dyDescent="0.25">
      <c r="B7" s="29" t="s">
        <v>302</v>
      </c>
      <c r="D7" s="277">
        <f>Предпосылки!G281</f>
        <v>10</v>
      </c>
      <c r="G7" s="255"/>
      <c r="H7" s="255"/>
      <c r="I7" s="255"/>
      <c r="J7" s="255"/>
      <c r="K7" s="255"/>
      <c r="L7" s="255"/>
      <c r="M7" s="255"/>
      <c r="N7" s="255"/>
      <c r="O7" s="255"/>
      <c r="P7" s="255"/>
    </row>
    <row r="8" spans="2:17" x14ac:dyDescent="0.25">
      <c r="G8" s="255"/>
      <c r="H8" s="255"/>
      <c r="I8" s="255"/>
      <c r="J8" s="255"/>
      <c r="K8" s="255"/>
      <c r="L8" s="255"/>
      <c r="M8" s="255"/>
      <c r="N8" s="255"/>
      <c r="O8" s="255"/>
      <c r="P8" s="255"/>
    </row>
    <row r="9" spans="2:17" x14ac:dyDescent="0.25">
      <c r="B9" s="254" t="s">
        <v>307</v>
      </c>
      <c r="G9" s="255"/>
      <c r="H9" s="255"/>
      <c r="I9" s="255"/>
      <c r="J9" s="255"/>
      <c r="K9" s="255"/>
      <c r="L9" s="255"/>
      <c r="M9" s="255"/>
      <c r="N9" s="255"/>
      <c r="O9" s="255"/>
      <c r="P9" s="255"/>
    </row>
    <row r="10" spans="2:17" x14ac:dyDescent="0.25">
      <c r="B10" s="29" t="s">
        <v>309</v>
      </c>
      <c r="F10" s="260" t="s">
        <v>39</v>
      </c>
      <c r="G10" s="35">
        <f>SUM('Доходы и расходы'!E84,'Доходы и расходы'!E109,'Доходы и расходы'!E182:E191)</f>
        <v>583.73</v>
      </c>
      <c r="H10" s="35">
        <f>SUM('Доходы и расходы'!F84,'Доходы и расходы'!F109,'Доходы и расходы'!F182:F191)</f>
        <v>94890.007597000003</v>
      </c>
      <c r="I10" s="35">
        <f>SUM('Доходы и расходы'!G84,'Доходы и расходы'!G109,'Доходы и расходы'!G182:G191)</f>
        <v>106436.40602595003</v>
      </c>
      <c r="J10" s="35">
        <f>SUM('Доходы и расходы'!H84,'Доходы и расходы'!H109,'Доходы и расходы'!H182:H191)</f>
        <v>118464.41205799203</v>
      </c>
      <c r="K10" s="35">
        <f>SUM('Доходы и расходы'!I84,'Доходы и расходы'!I109,'Доходы и расходы'!I182:I191)</f>
        <v>131164.71615671425</v>
      </c>
      <c r="L10" s="35">
        <f>SUM('Доходы и расходы'!J84,'Доходы и расходы'!J109,'Доходы и расходы'!J182:J191)</f>
        <v>144692.86888594143</v>
      </c>
      <c r="M10" s="35">
        <f>SUM('Доходы и расходы'!K84,'Доходы и расходы'!K109,'Доходы и расходы'!K182:K191)</f>
        <v>159248.4144326291</v>
      </c>
      <c r="N10" s="35">
        <f>SUM('Доходы и расходы'!L84,'Доходы и расходы'!L109,'Доходы и расходы'!L182:L191)</f>
        <v>174575.69072206225</v>
      </c>
      <c r="O10" s="35">
        <f>SUM('Доходы и расходы'!M84,'Доходы и расходы'!M109,'Доходы и расходы'!M182:M191)</f>
        <v>190903.57547890511</v>
      </c>
      <c r="P10" s="35">
        <f>SUM('Доходы и расходы'!N84,'Доходы и расходы'!N109,'Доходы и расходы'!N182:N191)</f>
        <v>211603.17537969438</v>
      </c>
      <c r="Q10" s="345">
        <f>SUM(G10:P10)</f>
        <v>1332562.9967368888</v>
      </c>
    </row>
    <row r="11" spans="2:17" x14ac:dyDescent="0.25">
      <c r="B11" s="43" t="s">
        <v>310</v>
      </c>
      <c r="C11" s="43"/>
      <c r="D11" s="43"/>
      <c r="E11" s="43"/>
      <c r="F11" s="279" t="s">
        <v>39</v>
      </c>
      <c r="G11" s="221">
        <f>SUM('Доходы и расходы'!E84,'Доходы и расходы'!E109,'Доходы и расходы'!E176,'Доходы и расходы'!E178,'Доходы и расходы'!E182:E191)</f>
        <v>2818.4004800000007</v>
      </c>
      <c r="H11" s="221">
        <f>SUM('Доходы и расходы'!F84,'Доходы и расходы'!F109,'Доходы и расходы'!F176,'Доходы и расходы'!F178,'Доходы и расходы'!F182:F191)</f>
        <v>101461.12361139999</v>
      </c>
      <c r="I11" s="221">
        <f>SUM('Доходы и расходы'!G84,'Доходы и расходы'!G109,'Доходы и расходы'!G176,'Доходы и расходы'!G178,'Доходы и расходы'!G182:G191)</f>
        <v>119181.63841112763</v>
      </c>
      <c r="J11" s="221">
        <f>SUM('Доходы и расходы'!H84,'Доходы и расходы'!H109,'Доходы и расходы'!H176,'Доходы и расходы'!H178,'Доходы и расходы'!H182:H191)</f>
        <v>132901.67925058817</v>
      </c>
      <c r="K11" s="221">
        <f>SUM('Доходы и расходы'!I84,'Доходы и расходы'!I109,'Доходы и расходы'!I176,'Доходы и расходы'!I178,'Доходы и расходы'!I182:I191)</f>
        <v>146179.47403701421</v>
      </c>
      <c r="L11" s="221">
        <f>SUM('Доходы и расходы'!J84,'Доходы и расходы'!J109,'Доходы и расходы'!J176,'Доходы и расходы'!J178,'Доходы и расходы'!J182:J191)</f>
        <v>160308.21708145339</v>
      </c>
      <c r="M11" s="221">
        <f>SUM('Доходы и расходы'!K84,'Доходы и расходы'!K109,'Доходы и расходы'!K176,'Доходы и расходы'!K178,'Доходы и расходы'!K182:K191)</f>
        <v>175488.37655596156</v>
      </c>
      <c r="N11" s="221">
        <f>SUM('Доходы и расходы'!L84,'Доходы и расходы'!L109,'Доходы и расходы'!L176,'Доходы и расходы'!L178,'Доходы и расходы'!L182:L191)</f>
        <v>191465.251330328</v>
      </c>
      <c r="O11" s="221">
        <f>SUM('Доходы и расходы'!M84,'Доходы и расходы'!M109,'Доходы и расходы'!M176,'Доходы и расходы'!M178,'Доходы и расходы'!M182:M191)</f>
        <v>208468.7185115015</v>
      </c>
      <c r="P11" s="221">
        <f>SUM('Доходы и расходы'!N84,'Доходы и расходы'!N109,'Доходы и расходы'!N176,'Доходы и расходы'!N178,'Доходы и расходы'!N182:N191)</f>
        <v>229870.92413359461</v>
      </c>
      <c r="Q11" s="347">
        <f>SUM(G11:P11)</f>
        <v>1468143.8034029691</v>
      </c>
    </row>
    <row r="12" spans="2:17" x14ac:dyDescent="0.25">
      <c r="B12" s="46" t="s">
        <v>312</v>
      </c>
      <c r="C12" s="46"/>
      <c r="D12" s="46"/>
      <c r="E12" s="46"/>
      <c r="F12" s="256" t="s">
        <v>39</v>
      </c>
      <c r="G12" s="222">
        <f>G10*$D$6/Предпосылки!$G$35</f>
        <v>143.93342465753426</v>
      </c>
      <c r="H12" s="222">
        <f>H10*$D$6/Предпосылки!$G$35</f>
        <v>23397.536119808221</v>
      </c>
      <c r="I12" s="222">
        <f>I10*$D$6/Предпосылки!$G$35</f>
        <v>26244.593266672611</v>
      </c>
      <c r="J12" s="222">
        <f>J10*$D$6/Предпосылки!$G$35</f>
        <v>29210.402973203512</v>
      </c>
      <c r="K12" s="222">
        <f>K10*$D$6/Предпосылки!$G$35</f>
        <v>32341.984805765154</v>
      </c>
      <c r="L12" s="222">
        <f>L10*$D$6/Предпосылки!$G$35</f>
        <v>35677.693697903363</v>
      </c>
      <c r="M12" s="222">
        <f>M10*$D$6/Предпосылки!$G$35</f>
        <v>39266.732325853751</v>
      </c>
      <c r="N12" s="222">
        <f>N10*$D$6/Предпосылки!$G$35</f>
        <v>43046.060725987954</v>
      </c>
      <c r="O12" s="222">
        <f>O10*$D$6/Предпосылки!$G$35</f>
        <v>47072.114501647833</v>
      </c>
      <c r="P12" s="222">
        <f>P10*$D$6/Предпосылки!$G$35</f>
        <v>52176.125436089023</v>
      </c>
      <c r="Q12" s="344">
        <f>SUM(G12:P12)</f>
        <v>328577.17727758893</v>
      </c>
    </row>
    <row r="13" spans="2:17" x14ac:dyDescent="0.25">
      <c r="B13" s="46" t="s">
        <v>303</v>
      </c>
      <c r="C13" s="46"/>
      <c r="D13" s="46"/>
      <c r="E13" s="46"/>
      <c r="F13" s="256" t="s">
        <v>39</v>
      </c>
      <c r="G13" s="278">
        <f>G11*$D$7/Предпосылки!$G$35</f>
        <v>77.216451506849339</v>
      </c>
      <c r="H13" s="278">
        <f>H11*$D$7/Предпосылки!$G$35</f>
        <v>2779.7568112712329</v>
      </c>
      <c r="I13" s="278">
        <f>I11*$D$7/Предпосылки!$G$35</f>
        <v>3265.2503674281543</v>
      </c>
      <c r="J13" s="278">
        <f>J11*$D$7/Предпосылки!$G$35</f>
        <v>3641.1418972763881</v>
      </c>
      <c r="K13" s="278">
        <f>K11*$D$7/Предпосылки!$G$35</f>
        <v>4004.9170969044985</v>
      </c>
      <c r="L13" s="278">
        <f>L11*$D$7/Предпосылки!$G$35</f>
        <v>4392.0059474370792</v>
      </c>
      <c r="M13" s="278">
        <f>M11*$D$7/Предпосылки!$G$35</f>
        <v>4807.9007275605909</v>
      </c>
      <c r="N13" s="278">
        <f>N11*$D$7/Предпосылки!$G$35</f>
        <v>5245.6233241185746</v>
      </c>
      <c r="O13" s="278">
        <f>O11*$D$7/Предпосылки!$G$35</f>
        <v>5711.4717400411373</v>
      </c>
      <c r="P13" s="278">
        <f>P11*$D$7/Предпосылки!$G$35</f>
        <v>6297.8335379067021</v>
      </c>
      <c r="Q13" s="344">
        <f>SUM(G13:P13)</f>
        <v>40223.117901451209</v>
      </c>
    </row>
    <row r="15" spans="2:17" x14ac:dyDescent="0.25">
      <c r="B15" s="189" t="s">
        <v>306</v>
      </c>
      <c r="C15" s="189"/>
      <c r="D15" s="189"/>
      <c r="E15" s="251"/>
      <c r="F15" s="252"/>
      <c r="G15" s="252"/>
      <c r="H15" s="253"/>
      <c r="I15" s="252"/>
      <c r="J15" s="252"/>
      <c r="K15" s="253"/>
      <c r="L15" s="252"/>
      <c r="M15" s="252"/>
      <c r="N15" s="253"/>
      <c r="O15" s="252"/>
      <c r="P15" s="252"/>
      <c r="Q15" s="346"/>
    </row>
    <row r="16" spans="2:17" x14ac:dyDescent="0.25">
      <c r="B16" s="259"/>
      <c r="C16" s="259"/>
      <c r="D16" s="259"/>
      <c r="E16" s="251"/>
      <c r="H16" s="28"/>
      <c r="K16" s="28"/>
      <c r="N16" s="28"/>
    </row>
    <row r="17" spans="1:17" x14ac:dyDescent="0.25">
      <c r="B17" s="254" t="s">
        <v>16</v>
      </c>
      <c r="G17" s="255"/>
      <c r="H17" s="255"/>
      <c r="I17" s="255"/>
      <c r="J17" s="255"/>
      <c r="K17" s="255"/>
      <c r="L17" s="255"/>
      <c r="M17" s="255"/>
      <c r="N17" s="255"/>
      <c r="O17" s="255"/>
      <c r="P17" s="255"/>
    </row>
    <row r="18" spans="1:17" x14ac:dyDescent="0.25">
      <c r="B18" s="46" t="s">
        <v>256</v>
      </c>
      <c r="C18" s="260" t="s">
        <v>257</v>
      </c>
      <c r="D18" s="260" t="s">
        <v>258</v>
      </c>
      <c r="E18" s="251"/>
      <c r="H18" s="28"/>
      <c r="K18" s="28"/>
      <c r="N18" s="28"/>
    </row>
    <row r="19" spans="1:17" x14ac:dyDescent="0.25">
      <c r="A19" t="s">
        <v>151</v>
      </c>
      <c r="B19" s="261" t="s">
        <v>259</v>
      </c>
      <c r="C19" s="240">
        <f>Предпосылки!G284</f>
        <v>0.5</v>
      </c>
      <c r="D19" s="286">
        <f>Предпосылки!H284</f>
        <v>1</v>
      </c>
      <c r="E19" s="251"/>
      <c r="H19" s="28"/>
      <c r="K19" s="28"/>
      <c r="N19" s="28"/>
    </row>
    <row r="20" spans="1:17" x14ac:dyDescent="0.25">
      <c r="A20" t="s">
        <v>152</v>
      </c>
      <c r="B20" s="261" t="s">
        <v>260</v>
      </c>
      <c r="C20" s="240">
        <f>Предпосылки!G285</f>
        <v>0.1</v>
      </c>
      <c r="D20" s="286">
        <f>Предпосылки!H285</f>
        <v>30</v>
      </c>
      <c r="E20" s="251"/>
      <c r="H20" s="28"/>
      <c r="K20" s="28"/>
      <c r="N20" s="28"/>
    </row>
    <row r="21" spans="1:17" x14ac:dyDescent="0.25">
      <c r="A21" t="s">
        <v>153</v>
      </c>
      <c r="B21" s="261" t="s">
        <v>366</v>
      </c>
      <c r="C21" s="240">
        <f>Предпосылки!G286</f>
        <v>0.4</v>
      </c>
      <c r="D21" s="286">
        <f>Предпосылки!H286</f>
        <v>10</v>
      </c>
      <c r="E21" s="251"/>
      <c r="H21" s="28"/>
      <c r="K21" s="28"/>
      <c r="N21" s="28"/>
    </row>
    <row r="22" spans="1:17" x14ac:dyDescent="0.25">
      <c r="B22" s="261"/>
      <c r="C22" s="255"/>
      <c r="D22" s="255"/>
      <c r="E22" s="251"/>
      <c r="H22" s="28"/>
      <c r="K22" s="28"/>
      <c r="N22" s="28"/>
    </row>
    <row r="23" spans="1:17" x14ac:dyDescent="0.25">
      <c r="B23" s="254" t="s">
        <v>307</v>
      </c>
      <c r="E23" s="254"/>
      <c r="H23" s="254"/>
      <c r="K23" s="254"/>
      <c r="N23" s="254"/>
    </row>
    <row r="24" spans="1:17" x14ac:dyDescent="0.25">
      <c r="B24" s="280" t="s">
        <v>80</v>
      </c>
      <c r="C24" s="43"/>
      <c r="D24" s="43"/>
      <c r="E24" s="281"/>
      <c r="F24" s="279" t="s">
        <v>39</v>
      </c>
      <c r="G24" s="221">
        <f>'Доходы и расходы'!E44</f>
        <v>0</v>
      </c>
      <c r="H24" s="221">
        <f>'Доходы и расходы'!F44</f>
        <v>185231.2</v>
      </c>
      <c r="I24" s="221">
        <f>'Доходы и расходы'!G44</f>
        <v>209079.717</v>
      </c>
      <c r="J24" s="221">
        <f>'Доходы и расходы'!H44</f>
        <v>232613.34096000003</v>
      </c>
      <c r="K24" s="221">
        <f>'Доходы и расходы'!I44</f>
        <v>257695.12728960003</v>
      </c>
      <c r="L24" s="221">
        <f>'Доходы и расходы'!J44</f>
        <v>284411.27518003207</v>
      </c>
      <c r="M24" s="221">
        <f>'Доходы и расходы'!K44</f>
        <v>312852.40269803529</v>
      </c>
      <c r="N24" s="221">
        <f>'Доходы и расходы'!L44</f>
        <v>343113.76237719069</v>
      </c>
      <c r="O24" s="221">
        <f>'Доходы и расходы'!M44</f>
        <v>375295.46698636166</v>
      </c>
      <c r="P24" s="221">
        <f>'Доходы и расходы'!N44</f>
        <v>415901.20603734505</v>
      </c>
      <c r="Q24" s="347">
        <f>SUM(G24:P24)</f>
        <v>2616193.4985285648</v>
      </c>
    </row>
    <row r="25" spans="1:17" x14ac:dyDescent="0.25">
      <c r="B25" s="46" t="s">
        <v>304</v>
      </c>
      <c r="C25" s="46"/>
      <c r="D25" s="46"/>
      <c r="E25" s="46"/>
      <c r="F25" s="256" t="s">
        <v>39</v>
      </c>
      <c r="G25" s="222">
        <f>G24*$C$20*$D$20/Предпосылки!$G$35</f>
        <v>0</v>
      </c>
      <c r="H25" s="222">
        <f>H24*$C$20*$D$20/Предпосылки!$G$35</f>
        <v>1522.4482191780824</v>
      </c>
      <c r="I25" s="222">
        <f>I24*$C$20*$D$20/Предпосылки!$G$35</f>
        <v>1718.4634273972604</v>
      </c>
      <c r="J25" s="222">
        <f>J24*$C$20*$D$20/Предпосылки!$G$35</f>
        <v>1911.890473643836</v>
      </c>
      <c r="K25" s="222">
        <f>K24*$C$20*$D$20/Предпосылки!$G$35</f>
        <v>2118.042142106302</v>
      </c>
      <c r="L25" s="222">
        <f>L24*$C$20*$D$20/Предпосылки!$G$35</f>
        <v>2337.6269192879349</v>
      </c>
      <c r="M25" s="222">
        <f>M24*$C$20*$D$20/Предпосылки!$G$35</f>
        <v>2571.3896112167281</v>
      </c>
      <c r="N25" s="222">
        <f>N24*$C$20*$D$20/Предпосылки!$G$35</f>
        <v>2820.1131154289646</v>
      </c>
      <c r="O25" s="222">
        <f>O24*$C$20*$D$20/Предпосылки!$G$35</f>
        <v>3084.620276600233</v>
      </c>
      <c r="P25" s="222">
        <f>P24*$C$20*$D$20/Предпосылки!$G$35</f>
        <v>3418.3660770192751</v>
      </c>
      <c r="Q25" s="344">
        <f>SUM(G25:P25)</f>
        <v>21502.960261878616</v>
      </c>
    </row>
    <row r="26" spans="1:17" x14ac:dyDescent="0.25">
      <c r="B26" s="46" t="s">
        <v>305</v>
      </c>
      <c r="C26" s="46"/>
      <c r="D26" s="46"/>
      <c r="E26" s="46"/>
      <c r="F26" s="256" t="s">
        <v>39</v>
      </c>
      <c r="G26" s="278">
        <f>G24*$C$21*$D$21/Предпосылки!$G$35</f>
        <v>0</v>
      </c>
      <c r="H26" s="278">
        <f>H24*$C$21*$D$21/Предпосылки!$G$35</f>
        <v>2029.9309589041097</v>
      </c>
      <c r="I26" s="278">
        <f>I24*$C$21*$D$21/Предпосылки!$G$35</f>
        <v>2291.2845698630135</v>
      </c>
      <c r="J26" s="278">
        <f>J24*$C$21*$D$21/Предпосылки!$G$35</f>
        <v>2549.1872981917813</v>
      </c>
      <c r="K26" s="278">
        <f>K24*$C$21*$D$21/Предпосылки!$G$35</f>
        <v>2824.056189475069</v>
      </c>
      <c r="L26" s="278">
        <f>L24*$C$21*$D$21/Предпосылки!$G$35</f>
        <v>3116.8358923839137</v>
      </c>
      <c r="M26" s="278">
        <f>M24*$C$21*$D$21/Предпосылки!$G$35</f>
        <v>3428.5194816223047</v>
      </c>
      <c r="N26" s="278">
        <f>N24*$C$21*$D$21/Предпосылки!$G$35</f>
        <v>3760.1508205719533</v>
      </c>
      <c r="O26" s="278">
        <f>O24*$C$21*$D$21/Предпосылки!$G$35</f>
        <v>4112.8270354669767</v>
      </c>
      <c r="P26" s="278">
        <f>P24*$C$21*$D$21/Предпосылки!$G$35</f>
        <v>4557.8214360256998</v>
      </c>
      <c r="Q26" s="344">
        <f>SUM(G26:P26)</f>
        <v>28670.613682504823</v>
      </c>
    </row>
    <row r="28" spans="1:17" x14ac:dyDescent="0.25">
      <c r="B28" s="189" t="s">
        <v>308</v>
      </c>
      <c r="C28" s="189"/>
      <c r="D28" s="189"/>
      <c r="E28" s="251"/>
      <c r="F28" s="252"/>
      <c r="G28" s="252"/>
      <c r="H28" s="253"/>
      <c r="I28" s="252"/>
      <c r="J28" s="252"/>
      <c r="K28" s="253"/>
      <c r="L28" s="252"/>
      <c r="M28" s="252"/>
      <c r="N28" s="253"/>
      <c r="O28" s="252"/>
      <c r="P28" s="252"/>
      <c r="Q28" s="346"/>
    </row>
    <row r="30" spans="1:17" x14ac:dyDescent="0.25">
      <c r="B30" s="254" t="s">
        <v>16</v>
      </c>
    </row>
    <row r="31" spans="1:17" x14ac:dyDescent="0.25">
      <c r="B31" s="46" t="s">
        <v>314</v>
      </c>
      <c r="C31" s="260" t="s">
        <v>257</v>
      </c>
      <c r="D31" s="260" t="s">
        <v>258</v>
      </c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7" x14ac:dyDescent="0.25">
      <c r="A32" t="s">
        <v>151</v>
      </c>
      <c r="B32" s="262" t="s">
        <v>259</v>
      </c>
      <c r="C32" s="240">
        <f>Предпосылки!G289</f>
        <v>0.5</v>
      </c>
      <c r="D32" s="286">
        <f>Предпосылки!H289</f>
        <v>1</v>
      </c>
      <c r="G32" s="255"/>
      <c r="H32" s="255"/>
      <c r="I32" s="255"/>
      <c r="J32" s="255"/>
      <c r="K32" s="255"/>
      <c r="L32" s="255"/>
      <c r="M32" s="255"/>
      <c r="N32" s="255"/>
      <c r="O32" s="255"/>
      <c r="P32" s="255"/>
    </row>
    <row r="33" spans="1:17" x14ac:dyDescent="0.25">
      <c r="A33" t="s">
        <v>152</v>
      </c>
      <c r="B33" s="29" t="s">
        <v>261</v>
      </c>
      <c r="C33" s="240">
        <f>Предпосылки!G290</f>
        <v>0.5</v>
      </c>
      <c r="D33" s="286">
        <f>Предпосылки!H290</f>
        <v>90</v>
      </c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  <row r="34" spans="1:17" x14ac:dyDescent="0.25">
      <c r="A34" t="s">
        <v>153</v>
      </c>
      <c r="B34" s="29" t="s">
        <v>367</v>
      </c>
      <c r="C34" s="240">
        <f>Предпосылки!G291</f>
        <v>0</v>
      </c>
      <c r="D34" s="286">
        <f>Предпосылки!H291</f>
        <v>0</v>
      </c>
      <c r="G34" s="255"/>
      <c r="H34" s="255"/>
      <c r="I34" s="255"/>
      <c r="J34" s="255"/>
      <c r="K34" s="255"/>
      <c r="L34" s="255"/>
      <c r="M34" s="255"/>
      <c r="N34" s="255"/>
      <c r="O34" s="255"/>
      <c r="P34" s="255"/>
    </row>
    <row r="35" spans="1:17" x14ac:dyDescent="0.25">
      <c r="C35" s="263"/>
      <c r="D35" s="264"/>
      <c r="G35" s="255"/>
      <c r="H35" s="255"/>
      <c r="I35" s="255"/>
      <c r="J35" s="255"/>
      <c r="K35" s="255"/>
      <c r="L35" s="255"/>
      <c r="M35" s="255"/>
      <c r="N35" s="255"/>
      <c r="O35" s="255"/>
      <c r="P35" s="255"/>
    </row>
    <row r="36" spans="1:17" x14ac:dyDescent="0.25">
      <c r="B36" s="254" t="s">
        <v>307</v>
      </c>
      <c r="C36" s="263"/>
      <c r="D36" s="264"/>
      <c r="G36" s="255"/>
      <c r="H36" s="255"/>
      <c r="I36" s="255"/>
      <c r="J36" s="255"/>
      <c r="K36" s="255"/>
      <c r="L36" s="255"/>
      <c r="M36" s="255"/>
      <c r="N36" s="255"/>
      <c r="O36" s="255"/>
      <c r="P36" s="255"/>
    </row>
    <row r="37" spans="1:17" x14ac:dyDescent="0.25">
      <c r="B37" s="280" t="s">
        <v>311</v>
      </c>
      <c r="C37" s="282"/>
      <c r="D37" s="283"/>
      <c r="E37" s="43"/>
      <c r="F37" s="279" t="s">
        <v>39</v>
      </c>
      <c r="G37" s="221">
        <f>SUM('Доходы и расходы'!E84,'Доходы и расходы'!E109,'Доходы и расходы'!E182:E191)</f>
        <v>583.73</v>
      </c>
      <c r="H37" s="221">
        <f>SUM('Доходы и расходы'!F84,'Доходы и расходы'!F109,'Доходы и расходы'!F182:F191)</f>
        <v>94890.007597000003</v>
      </c>
      <c r="I37" s="221">
        <f>SUM('Доходы и расходы'!G84,'Доходы и расходы'!G109,'Доходы и расходы'!G182:G191)</f>
        <v>106436.40602595003</v>
      </c>
      <c r="J37" s="221">
        <f>SUM('Доходы и расходы'!H84,'Доходы и расходы'!H109,'Доходы и расходы'!H182:H191)</f>
        <v>118464.41205799203</v>
      </c>
      <c r="K37" s="221">
        <f>SUM('Доходы и расходы'!I84,'Доходы и расходы'!I109,'Доходы и расходы'!I182:I191)</f>
        <v>131164.71615671425</v>
      </c>
      <c r="L37" s="221">
        <f>SUM('Доходы и расходы'!J84,'Доходы и расходы'!J109,'Доходы и расходы'!J182:J191)</f>
        <v>144692.86888594143</v>
      </c>
      <c r="M37" s="221">
        <f>SUM('Доходы и расходы'!K84,'Доходы и расходы'!K109,'Доходы и расходы'!K182:K191)</f>
        <v>159248.4144326291</v>
      </c>
      <c r="N37" s="221">
        <f>SUM('Доходы и расходы'!L84,'Доходы и расходы'!L109,'Доходы и расходы'!L182:L191)</f>
        <v>174575.69072206225</v>
      </c>
      <c r="O37" s="221">
        <f>SUM('Доходы и расходы'!M84,'Доходы и расходы'!M109,'Доходы и расходы'!M182:M191)</f>
        <v>190903.57547890511</v>
      </c>
      <c r="P37" s="221">
        <f>SUM('Доходы и расходы'!N84,'Доходы и расходы'!N109,'Доходы и расходы'!N182:N191)</f>
        <v>211603.17537969438</v>
      </c>
      <c r="Q37" s="347">
        <f>SUM(G37:P37)</f>
        <v>1332562.9967368888</v>
      </c>
    </row>
    <row r="38" spans="1:17" x14ac:dyDescent="0.25">
      <c r="B38" s="46" t="s">
        <v>263</v>
      </c>
      <c r="C38" s="46"/>
      <c r="D38" s="46"/>
      <c r="E38" s="46"/>
      <c r="F38" s="256" t="s">
        <v>39</v>
      </c>
      <c r="G38" s="278">
        <f>G37*$C$33*$D$33/Предпосылки!$G$35</f>
        <v>71.96671232876713</v>
      </c>
      <c r="H38" s="278">
        <f>H37*$C$33*$D$33/Предпосылки!$G$35</f>
        <v>11698.76805990411</v>
      </c>
      <c r="I38" s="278">
        <f>I37*$C$33*$D$33/Предпосылки!$G$35</f>
        <v>13122.296633336306</v>
      </c>
      <c r="J38" s="278">
        <f>J37*$C$33*$D$33/Предпосылки!$G$35</f>
        <v>14605.201486601756</v>
      </c>
      <c r="K38" s="278">
        <f>K37*$C$33*$D$33/Предпосылки!$G$35</f>
        <v>16170.992402882577</v>
      </c>
      <c r="L38" s="278">
        <f>L37*$C$33*$D$33/Предпосылки!$G$35</f>
        <v>17838.846848951682</v>
      </c>
      <c r="M38" s="278">
        <f>M37*$C$33*$D$33/Предпосылки!$G$35</f>
        <v>19633.366162926875</v>
      </c>
      <c r="N38" s="278">
        <f>N37*$C$33*$D$33/Предпосылки!$G$35</f>
        <v>21523.030362993977</v>
      </c>
      <c r="O38" s="278">
        <f>O37*$C$33*$D$33/Предпосылки!$G$35</f>
        <v>23536.057250823917</v>
      </c>
      <c r="P38" s="278">
        <f>P37*$C$33*$D$33/Предпосылки!$G$35</f>
        <v>26088.062718044512</v>
      </c>
      <c r="Q38" s="345">
        <f>SUM(G38:P38)</f>
        <v>164288.58863879446</v>
      </c>
    </row>
    <row r="39" spans="1:17" x14ac:dyDescent="0.25">
      <c r="B39" s="46" t="s">
        <v>262</v>
      </c>
      <c r="C39" s="46"/>
      <c r="D39" s="46"/>
      <c r="E39" s="46"/>
      <c r="F39" s="256" t="s">
        <v>39</v>
      </c>
      <c r="G39" s="222">
        <f>G37*$C$34*$D$34/Предпосылки!$G$35</f>
        <v>0</v>
      </c>
      <c r="H39" s="222">
        <f>H37*$C$34*$D$34/Предпосылки!$G$35</f>
        <v>0</v>
      </c>
      <c r="I39" s="222">
        <f>I37*$C$34*$D$34/Предпосылки!$G$35</f>
        <v>0</v>
      </c>
      <c r="J39" s="222">
        <f>J37*$C$34*$D$34/Предпосылки!$G$35</f>
        <v>0</v>
      </c>
      <c r="K39" s="222">
        <f>K37*$C$34*$D$34/Предпосылки!$G$35</f>
        <v>0</v>
      </c>
      <c r="L39" s="222">
        <f>L37*$C$34*$D$34/Предпосылки!$G$35</f>
        <v>0</v>
      </c>
      <c r="M39" s="222">
        <f>M37*$C$34*$D$34/Предпосылки!$G$35</f>
        <v>0</v>
      </c>
      <c r="N39" s="222">
        <f>N37*$C$34*$D$34/Предпосылки!$G$35</f>
        <v>0</v>
      </c>
      <c r="O39" s="222">
        <f>O37*$C$34*$D$34/Предпосылки!$G$35</f>
        <v>0</v>
      </c>
      <c r="P39" s="222">
        <f>P37*$C$34*$D$34/Предпосылки!$G$35</f>
        <v>0</v>
      </c>
      <c r="Q39" s="345">
        <f>SUM(G39:P39)</f>
        <v>0</v>
      </c>
    </row>
    <row r="41" spans="1:17" x14ac:dyDescent="0.25">
      <c r="B41" s="189" t="s">
        <v>264</v>
      </c>
      <c r="C41" s="189"/>
      <c r="D41" s="189"/>
      <c r="E41" s="251"/>
      <c r="F41" s="252"/>
      <c r="G41" s="252"/>
      <c r="H41" s="253"/>
      <c r="I41" s="252"/>
      <c r="J41" s="252"/>
      <c r="K41" s="253"/>
      <c r="L41" s="252"/>
      <c r="M41" s="252"/>
      <c r="N41" s="253"/>
      <c r="O41" s="252"/>
      <c r="P41" s="252"/>
      <c r="Q41" s="346"/>
    </row>
    <row r="43" spans="1:17" x14ac:dyDescent="0.25">
      <c r="B43" s="29" t="s">
        <v>322</v>
      </c>
      <c r="F43" s="260" t="s">
        <v>39</v>
      </c>
      <c r="G43" s="35">
        <f t="shared" ref="G43:P43" si="0">SUM(G12,G13,G26,G38)</f>
        <v>293.11658849315074</v>
      </c>
      <c r="H43" s="35">
        <f>SUM(H12,H13,H26,H38)</f>
        <v>39905.991949887677</v>
      </c>
      <c r="I43" s="35">
        <f t="shared" si="0"/>
        <v>44923.424837300088</v>
      </c>
      <c r="J43" s="35">
        <f t="shared" si="0"/>
        <v>50005.933655273438</v>
      </c>
      <c r="K43" s="35">
        <f t="shared" si="0"/>
        <v>55341.950495027304</v>
      </c>
      <c r="L43" s="35">
        <f t="shared" si="0"/>
        <v>61025.382386676036</v>
      </c>
      <c r="M43" s="35">
        <f t="shared" si="0"/>
        <v>67136.518697963518</v>
      </c>
      <c r="N43" s="35">
        <f t="shared" si="0"/>
        <v>73574.865233672463</v>
      </c>
      <c r="O43" s="35">
        <f t="shared" si="0"/>
        <v>80432.470527979865</v>
      </c>
      <c r="P43" s="35">
        <f t="shared" si="0"/>
        <v>89119.843128065928</v>
      </c>
      <c r="Q43" s="345">
        <f>SUM(G43:P43)</f>
        <v>561759.49750033952</v>
      </c>
    </row>
    <row r="44" spans="1:17" x14ac:dyDescent="0.25">
      <c r="B44" s="29" t="s">
        <v>323</v>
      </c>
      <c r="F44" s="260" t="s">
        <v>39</v>
      </c>
      <c r="G44" s="35">
        <f t="shared" ref="G44:P44" si="1">-SUM(G25,G39)</f>
        <v>0</v>
      </c>
      <c r="H44" s="35">
        <f t="shared" si="1"/>
        <v>-1522.4482191780824</v>
      </c>
      <c r="I44" s="35">
        <f t="shared" si="1"/>
        <v>-1718.4634273972604</v>
      </c>
      <c r="J44" s="35">
        <f t="shared" si="1"/>
        <v>-1911.890473643836</v>
      </c>
      <c r="K44" s="35">
        <f t="shared" si="1"/>
        <v>-2118.042142106302</v>
      </c>
      <c r="L44" s="35">
        <f t="shared" si="1"/>
        <v>-2337.6269192879349</v>
      </c>
      <c r="M44" s="35">
        <f t="shared" si="1"/>
        <v>-2571.3896112167281</v>
      </c>
      <c r="N44" s="35">
        <f t="shared" si="1"/>
        <v>-2820.1131154289646</v>
      </c>
      <c r="O44" s="35">
        <f t="shared" si="1"/>
        <v>-3084.620276600233</v>
      </c>
      <c r="P44" s="35">
        <f t="shared" si="1"/>
        <v>-3418.3660770192751</v>
      </c>
      <c r="Q44" s="345">
        <f>SUM(G44:P44)</f>
        <v>-21502.960261878616</v>
      </c>
    </row>
    <row r="45" spans="1:17" x14ac:dyDescent="0.25">
      <c r="B45" s="29" t="s">
        <v>313</v>
      </c>
      <c r="F45" s="260" t="s">
        <v>39</v>
      </c>
      <c r="G45" s="284">
        <f>SUM(G43:G44)</f>
        <v>293.11658849315074</v>
      </c>
      <c r="H45" s="284">
        <f>SUM(H43:H44)</f>
        <v>38383.543730709593</v>
      </c>
      <c r="I45" s="284">
        <f t="shared" ref="I45:P45" si="2">SUM(I43:I44)</f>
        <v>43204.961409902826</v>
      </c>
      <c r="J45" s="284">
        <f t="shared" si="2"/>
        <v>48094.043181629604</v>
      </c>
      <c r="K45" s="284">
        <f t="shared" si="2"/>
        <v>53223.908352921004</v>
      </c>
      <c r="L45" s="284">
        <f t="shared" si="2"/>
        <v>58687.755467388102</v>
      </c>
      <c r="M45" s="284">
        <f t="shared" si="2"/>
        <v>64565.129086746791</v>
      </c>
      <c r="N45" s="284">
        <f t="shared" si="2"/>
        <v>70754.752118243501</v>
      </c>
      <c r="O45" s="284">
        <f t="shared" si="2"/>
        <v>77347.850251379627</v>
      </c>
      <c r="P45" s="284">
        <f t="shared" si="2"/>
        <v>85701.477051046648</v>
      </c>
      <c r="Q45" s="348">
        <f>SUM(G45:P45)</f>
        <v>540256.53723846085</v>
      </c>
    </row>
    <row r="46" spans="1:17" x14ac:dyDescent="0.25">
      <c r="B46" s="257" t="s">
        <v>265</v>
      </c>
      <c r="C46" s="257"/>
      <c r="D46" s="257"/>
      <c r="E46" s="257"/>
      <c r="F46" s="258" t="s">
        <v>39</v>
      </c>
      <c r="G46" s="47">
        <f>IFERROR(G45-F45,G45)</f>
        <v>293.11658849315074</v>
      </c>
      <c r="H46" s="47">
        <f>IFERROR(H45-G45,H45)</f>
        <v>38090.427142216438</v>
      </c>
      <c r="I46" s="47">
        <f t="shared" ref="I46:P46" si="3">IFERROR(I45-H45,I45)</f>
        <v>4821.4176791932332</v>
      </c>
      <c r="J46" s="47">
        <f t="shared" si="3"/>
        <v>4889.0817717267782</v>
      </c>
      <c r="K46" s="47">
        <f t="shared" si="3"/>
        <v>5129.8651712913997</v>
      </c>
      <c r="L46" s="47">
        <f t="shared" si="3"/>
        <v>5463.8471144670984</v>
      </c>
      <c r="M46" s="47">
        <f t="shared" si="3"/>
        <v>5877.3736193586883</v>
      </c>
      <c r="N46" s="47">
        <f t="shared" si="3"/>
        <v>6189.6230314967106</v>
      </c>
      <c r="O46" s="47">
        <f t="shared" si="3"/>
        <v>6593.0981331361254</v>
      </c>
      <c r="P46" s="47">
        <f t="shared" si="3"/>
        <v>8353.6267996670213</v>
      </c>
      <c r="Q46" s="342">
        <f>SUM(G46:P46)</f>
        <v>85701.477051046648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Q29"/>
  <sheetViews>
    <sheetView showGridLines="0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22" sqref="O22"/>
    </sheetView>
  </sheetViews>
  <sheetFormatPr defaultColWidth="8.85546875" defaultRowHeight="15" x14ac:dyDescent="0.25"/>
  <cols>
    <col min="1" max="1" width="2.42578125" customWidth="1"/>
    <col min="2" max="2" width="82.85546875" style="7" customWidth="1"/>
    <col min="3" max="3" width="2.28515625" style="7" customWidth="1"/>
    <col min="4" max="4" width="9.42578125" style="5" customWidth="1"/>
    <col min="5" max="5" width="9.7109375" style="59" customWidth="1"/>
    <col min="6" max="6" width="10.28515625" style="59" customWidth="1"/>
    <col min="7" max="14" width="9.7109375" style="59" customWidth="1"/>
    <col min="15" max="15" width="10.42578125" style="7" customWidth="1"/>
    <col min="16" max="16" width="2.28515625" style="7" customWidth="1"/>
    <col min="17" max="17" width="8.85546875" style="5"/>
  </cols>
  <sheetData>
    <row r="1" spans="2:17" x14ac:dyDescent="0.25">
      <c r="B1" s="50" t="s">
        <v>278</v>
      </c>
      <c r="C1" s="2"/>
      <c r="D1" s="2" t="s">
        <v>52</v>
      </c>
      <c r="E1" s="49">
        <f>Предпосылки!G24</f>
        <v>2022</v>
      </c>
      <c r="F1" s="49">
        <f>Предпосылки!H24</f>
        <v>2023</v>
      </c>
      <c r="G1" s="49">
        <f>Предпосылки!I24</f>
        <v>2024</v>
      </c>
      <c r="H1" s="49">
        <f>Предпосылки!J24</f>
        <v>2025</v>
      </c>
      <c r="I1" s="49">
        <f>Предпосылки!K24</f>
        <v>2026</v>
      </c>
      <c r="J1" s="49">
        <f>Предпосылки!L24</f>
        <v>2027</v>
      </c>
      <c r="K1" s="49">
        <f>Предпосылки!M24</f>
        <v>2028</v>
      </c>
      <c r="L1" s="49">
        <f>Предпосылки!N24</f>
        <v>2029</v>
      </c>
      <c r="M1" s="49">
        <f>Предпосылки!O24</f>
        <v>2030</v>
      </c>
      <c r="N1" s="49">
        <f>Предпосылки!P24</f>
        <v>2031</v>
      </c>
      <c r="O1" s="15" t="s">
        <v>6</v>
      </c>
    </row>
    <row r="2" spans="2:17" x14ac:dyDescent="0.25">
      <c r="B2" s="50"/>
      <c r="C2" s="2"/>
      <c r="D2" s="2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15"/>
      <c r="Q2" s="210"/>
    </row>
    <row r="3" spans="2:17" x14ac:dyDescent="0.25">
      <c r="B3" s="189" t="s">
        <v>343</v>
      </c>
      <c r="C3" s="23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2:17" x14ac:dyDescent="0.25">
      <c r="B4" s="2"/>
      <c r="C4" s="2"/>
      <c r="D4" s="2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3"/>
      <c r="Q4" s="2"/>
    </row>
    <row r="5" spans="2:17" x14ac:dyDescent="0.25">
      <c r="B5" s="3" t="s">
        <v>80</v>
      </c>
      <c r="C5" s="54"/>
      <c r="D5" s="2" t="s">
        <v>39</v>
      </c>
      <c r="E5" s="24">
        <f>E6</f>
        <v>0</v>
      </c>
      <c r="F5" s="24">
        <f t="shared" ref="F5:N5" si="0">F6</f>
        <v>185231.2</v>
      </c>
      <c r="G5" s="24">
        <f t="shared" si="0"/>
        <v>209079.717</v>
      </c>
      <c r="H5" s="24">
        <f t="shared" si="0"/>
        <v>232613.34096000003</v>
      </c>
      <c r="I5" s="24">
        <f t="shared" si="0"/>
        <v>257695.12728960003</v>
      </c>
      <c r="J5" s="24">
        <f t="shared" si="0"/>
        <v>284411.27518003207</v>
      </c>
      <c r="K5" s="24">
        <f t="shared" si="0"/>
        <v>312852.40269803529</v>
      </c>
      <c r="L5" s="24">
        <f t="shared" si="0"/>
        <v>343113.76237719069</v>
      </c>
      <c r="M5" s="24">
        <f t="shared" si="0"/>
        <v>375295.46698636166</v>
      </c>
      <c r="N5" s="24">
        <f t="shared" si="0"/>
        <v>415901.20603734505</v>
      </c>
      <c r="O5" s="270">
        <f t="shared" ref="O5:O22" si="1">SUM(E5:N5)</f>
        <v>2616193.4985285648</v>
      </c>
      <c r="P5" s="55"/>
      <c r="Q5" s="2"/>
    </row>
    <row r="6" spans="2:17" x14ac:dyDescent="0.25">
      <c r="B6" s="29" t="s">
        <v>291</v>
      </c>
      <c r="D6" s="5" t="s">
        <v>39</v>
      </c>
      <c r="E6" s="10">
        <f>'Доходы и расходы'!E44/(1+Налоги!E6)</f>
        <v>0</v>
      </c>
      <c r="F6" s="10">
        <f>'Доходы и расходы'!F44/(1+Налоги!F6)</f>
        <v>185231.2</v>
      </c>
      <c r="G6" s="10">
        <f>'Доходы и расходы'!G44/(1+Налоги!G6)</f>
        <v>209079.717</v>
      </c>
      <c r="H6" s="10">
        <f>'Доходы и расходы'!H44/(1+Налоги!H6)</f>
        <v>232613.34096000003</v>
      </c>
      <c r="I6" s="10">
        <f>'Доходы и расходы'!I44/(1+Налоги!I6)</f>
        <v>257695.12728960003</v>
      </c>
      <c r="J6" s="10">
        <f>'Доходы и расходы'!J44/(1+Налоги!J6)</f>
        <v>284411.27518003207</v>
      </c>
      <c r="K6" s="10">
        <f>'Доходы и расходы'!K44/(1+Налоги!K6)</f>
        <v>312852.40269803529</v>
      </c>
      <c r="L6" s="10">
        <f>'Доходы и расходы'!L44/(1+Налоги!L6)</f>
        <v>343113.76237719069</v>
      </c>
      <c r="M6" s="10">
        <f>'Доходы и расходы'!M44/(1+Налоги!M6)</f>
        <v>375295.46698636166</v>
      </c>
      <c r="N6" s="10">
        <f>'Доходы и расходы'!N44/(1+Налоги!N6)</f>
        <v>415901.20603734505</v>
      </c>
      <c r="O6" s="270">
        <f t="shared" si="1"/>
        <v>2616193.4985285648</v>
      </c>
      <c r="P6" s="55"/>
      <c r="Q6" s="38"/>
    </row>
    <row r="7" spans="2:17" x14ac:dyDescent="0.25">
      <c r="B7" s="3" t="s">
        <v>283</v>
      </c>
      <c r="C7" s="54"/>
      <c r="D7" s="2" t="s">
        <v>39</v>
      </c>
      <c r="E7" s="24">
        <f>SUM(E8:E17)</f>
        <v>-2818.4004800000007</v>
      </c>
      <c r="F7" s="24">
        <f t="shared" ref="F7:N7" si="2">SUM(F8:F17)</f>
        <v>-101461.12361139999</v>
      </c>
      <c r="G7" s="24">
        <f t="shared" si="2"/>
        <v>-119181.63841112761</v>
      </c>
      <c r="H7" s="24">
        <f t="shared" si="2"/>
        <v>-132901.67925058815</v>
      </c>
      <c r="I7" s="24">
        <f t="shared" si="2"/>
        <v>-146179.47403701421</v>
      </c>
      <c r="J7" s="24">
        <f t="shared" si="2"/>
        <v>-160308.21708145336</v>
      </c>
      <c r="K7" s="24">
        <f t="shared" si="2"/>
        <v>-175488.37655596156</v>
      </c>
      <c r="L7" s="24">
        <f t="shared" si="2"/>
        <v>-191465.251330328</v>
      </c>
      <c r="M7" s="24">
        <f t="shared" si="2"/>
        <v>-208468.7185115015</v>
      </c>
      <c r="N7" s="24">
        <f t="shared" si="2"/>
        <v>-229870.92413359458</v>
      </c>
      <c r="O7" s="270">
        <f t="shared" si="1"/>
        <v>-1468143.8034029689</v>
      </c>
      <c r="P7" s="55"/>
      <c r="Q7" s="2" t="s">
        <v>79</v>
      </c>
    </row>
    <row r="8" spans="2:17" x14ac:dyDescent="0.25">
      <c r="B8" s="323" t="s">
        <v>280</v>
      </c>
      <c r="C8" s="54"/>
      <c r="D8" s="5" t="s">
        <v>39</v>
      </c>
      <c r="E8" s="40">
        <f>-'Доходы и расходы'!E84/(1+Налоги!E6)</f>
        <v>0</v>
      </c>
      <c r="F8" s="40">
        <f>-'Доходы и расходы'!F84/(1+Налоги!F6)</f>
        <v>-92615.6</v>
      </c>
      <c r="G8" s="40">
        <f>-'Доходы и расходы'!G84/(1+Налоги!G6)</f>
        <v>-104539.8585</v>
      </c>
      <c r="H8" s="40">
        <f>-'Доходы и расходы'!H84/(1+Налоги!H6)</f>
        <v>-116306.67048000002</v>
      </c>
      <c r="I8" s="40">
        <f>-'Доходы и расходы'!I84/(1+Налоги!I6)</f>
        <v>-128847.56364480002</v>
      </c>
      <c r="J8" s="40">
        <f>-'Доходы и расходы'!J84/(1+Налоги!J6)</f>
        <v>-142205.63759001603</v>
      </c>
      <c r="K8" s="40">
        <f>-'Доходы и расходы'!K84/(1+Налоги!K6)</f>
        <v>-156426.20134901765</v>
      </c>
      <c r="L8" s="40">
        <f>-'Доходы и расходы'!L84/(1+Налоги!L6)</f>
        <v>-171556.88118859535</v>
      </c>
      <c r="M8" s="40">
        <f>-'Доходы и расходы'!M84/(1+Налоги!M6)</f>
        <v>-187647.73349318083</v>
      </c>
      <c r="N8" s="40">
        <f>-'Доходы и расходы'!N84/(1+Налоги!N6)</f>
        <v>-207950.60301867253</v>
      </c>
      <c r="O8" s="270">
        <f t="shared" si="1"/>
        <v>-1308096.7492642824</v>
      </c>
      <c r="P8" s="55"/>
      <c r="Q8" s="38">
        <f>IFERROR(O8/$O$7,0)</f>
        <v>0.89098679995262187</v>
      </c>
    </row>
    <row r="9" spans="2:17" x14ac:dyDescent="0.25">
      <c r="B9" s="323" t="s">
        <v>279</v>
      </c>
      <c r="C9" s="54"/>
      <c r="D9" s="5" t="s">
        <v>39</v>
      </c>
      <c r="E9" s="40">
        <f>-'Доходы и расходы'!E109/(1+Налоги!E6)</f>
        <v>0</v>
      </c>
      <c r="F9" s="40">
        <f>-'Доходы и расходы'!F109/(1+Налоги!F6)</f>
        <v>-919.90444699999989</v>
      </c>
      <c r="G9" s="40">
        <f>-'Доходы и расходы'!G109/(1+Налоги!G6)</f>
        <v>-1009.17430845</v>
      </c>
      <c r="H9" s="40">
        <f>-'Доходы и расходы'!H109/(1+Налоги!H6)</f>
        <v>-1094.5469054519999</v>
      </c>
      <c r="I9" s="40">
        <f>-'Доходы и расходы'!I109/(1+Налоги!I6)</f>
        <v>-1185.1346313206402</v>
      </c>
      <c r="J9" s="40">
        <f>-'Доходы и расходы'!J109/(1+Налоги!J6)</f>
        <v>-1281.2181002100483</v>
      </c>
      <c r="K9" s="40">
        <f>-'Доходы и расходы'!K109/(1+Налоги!K6)</f>
        <v>-1383.092031200496</v>
      </c>
      <c r="L9" s="40">
        <f>-'Доходы и расходы'!L109/(1+Налоги!L6)</f>
        <v>-1491.0659277098432</v>
      </c>
      <c r="M9" s="40">
        <f>-'Доходы и расходы'!M109/(1+Налоги!M6)</f>
        <v>-1605.4647886900175</v>
      </c>
      <c r="N9" s="40">
        <f>-'Доходы и расходы'!N109/(1+Налоги!N6)</f>
        <v>-1726.62985306427</v>
      </c>
      <c r="O9" s="270">
        <f t="shared" si="1"/>
        <v>-11696.230993097317</v>
      </c>
      <c r="P9" s="55"/>
      <c r="Q9" s="38">
        <f t="shared" ref="Q9:Q13" si="3">IFERROR(O9/$O$7,0)</f>
        <v>7.9666793988347421E-3</v>
      </c>
    </row>
    <row r="10" spans="2:17" x14ac:dyDescent="0.25">
      <c r="B10" s="323" t="s">
        <v>281</v>
      </c>
      <c r="C10" s="54"/>
      <c r="D10" s="5" t="s">
        <v>39</v>
      </c>
      <c r="E10" s="40">
        <f>-'Доходы и расходы'!E176</f>
        <v>-1711.0800000000004</v>
      </c>
      <c r="F10" s="40">
        <f>-'Доходы и расходы'!F176</f>
        <v>-5031.4824000000008</v>
      </c>
      <c r="G10" s="40">
        <f>-'Доходы и расходы'!G176</f>
        <v>-9758.9834496000021</v>
      </c>
      <c r="H10" s="40">
        <f>-'Доходы и расходы'!H176</f>
        <v>-11054.569060180802</v>
      </c>
      <c r="I10" s="40">
        <f>-'Доходы и расходы'!I176</f>
        <v>-11496.751822588034</v>
      </c>
      <c r="J10" s="40">
        <f>-'Доходы и расходы'!J176</f>
        <v>-11956.621895491557</v>
      </c>
      <c r="K10" s="40">
        <f>-'Доходы и расходы'!K176</f>
        <v>-12434.886771311219</v>
      </c>
      <c r="L10" s="40">
        <f>-'Доходы и расходы'!L176</f>
        <v>-12932.282242163667</v>
      </c>
      <c r="M10" s="40">
        <f>-'Доходы и расходы'!M176</f>
        <v>-13449.573531850216</v>
      </c>
      <c r="N10" s="40">
        <f>-'Доходы и расходы'!N176</f>
        <v>-13987.556473124223</v>
      </c>
      <c r="O10" s="270">
        <f t="shared" si="1"/>
        <v>-103813.78764630971</v>
      </c>
      <c r="P10" s="55"/>
      <c r="Q10" s="38">
        <f t="shared" si="3"/>
        <v>7.071091224557341E-2</v>
      </c>
    </row>
    <row r="11" spans="2:17" x14ac:dyDescent="0.25">
      <c r="B11" s="323" t="s">
        <v>28</v>
      </c>
      <c r="C11" s="54"/>
      <c r="D11" s="5" t="s">
        <v>39</v>
      </c>
      <c r="E11" s="40">
        <f>-'Доходы и расходы'!E178</f>
        <v>-523.59048000000018</v>
      </c>
      <c r="F11" s="40">
        <f>-'Доходы и расходы'!F178</f>
        <v>-1539.6336144000004</v>
      </c>
      <c r="G11" s="40">
        <f>-'Доходы и расходы'!G178</f>
        <v>-2986.2489355776011</v>
      </c>
      <c r="H11" s="40">
        <f>-'Доходы и расходы'!H178</f>
        <v>-3382.6981324153257</v>
      </c>
      <c r="I11" s="40">
        <f>-'Доходы и расходы'!I178</f>
        <v>-3518.0060577119389</v>
      </c>
      <c r="J11" s="40">
        <f>-'Доходы и расходы'!J178</f>
        <v>-3658.7263000204171</v>
      </c>
      <c r="K11" s="40">
        <f>-'Доходы и расходы'!K178</f>
        <v>-3805.0753520212338</v>
      </c>
      <c r="L11" s="40">
        <f>-'Доходы и расходы'!L178</f>
        <v>-3957.2783661020826</v>
      </c>
      <c r="M11" s="40">
        <f>-'Доходы и расходы'!M178</f>
        <v>-4115.5695007461663</v>
      </c>
      <c r="N11" s="40">
        <f>-'Доходы и расходы'!N178</f>
        <v>-4280.1922807760129</v>
      </c>
      <c r="O11" s="270">
        <f t="shared" si="1"/>
        <v>-31767.019019770778</v>
      </c>
      <c r="P11" s="55"/>
      <c r="Q11" s="38">
        <f t="shared" si="3"/>
        <v>2.1637539147145467E-2</v>
      </c>
    </row>
    <row r="12" spans="2:17" x14ac:dyDescent="0.25">
      <c r="B12" s="323" t="s">
        <v>282</v>
      </c>
      <c r="C12" s="54"/>
      <c r="D12" s="5" t="s">
        <v>39</v>
      </c>
      <c r="E12" s="40">
        <f>-SUM('Доходы и расходы'!E206,'Доходы и расходы'!E219,'Доходы и расходы'!E232)</f>
        <v>0</v>
      </c>
      <c r="F12" s="40">
        <f>-SUM('Доходы и расходы'!F206,'Доходы и расходы'!F219,'Доходы и расходы'!F232)</f>
        <v>0</v>
      </c>
      <c r="G12" s="40">
        <f>-SUM('Доходы и расходы'!G206,'Доходы и расходы'!G219,'Доходы и расходы'!G232)</f>
        <v>0</v>
      </c>
      <c r="H12" s="40">
        <f>-SUM('Доходы и расходы'!H206,'Доходы и расходы'!H219,'Доходы и расходы'!H232)</f>
        <v>0</v>
      </c>
      <c r="I12" s="40">
        <f>-SUM('Доходы и расходы'!I206,'Доходы и расходы'!I219,'Доходы и расходы'!I232)</f>
        <v>0</v>
      </c>
      <c r="J12" s="40">
        <f>-SUM('Доходы и расходы'!J206,'Доходы и расходы'!J219,'Доходы и расходы'!J232)</f>
        <v>0</v>
      </c>
      <c r="K12" s="40">
        <f>-SUM('Доходы и расходы'!K206,'Доходы и расходы'!K219,'Доходы и расходы'!K232)</f>
        <v>0</v>
      </c>
      <c r="L12" s="40">
        <f>-SUM('Доходы и расходы'!L206,'Доходы и расходы'!L219,'Доходы и расходы'!L232)</f>
        <v>0</v>
      </c>
      <c r="M12" s="40">
        <f>-SUM('Доходы и расходы'!M206,'Доходы и расходы'!M219,'Доходы и расходы'!M232)</f>
        <v>0</v>
      </c>
      <c r="N12" s="40">
        <f>-SUM('Доходы и расходы'!N206,'Доходы и расходы'!N219,'Доходы и расходы'!N232)</f>
        <v>0</v>
      </c>
      <c r="O12" s="270">
        <f t="shared" si="1"/>
        <v>0</v>
      </c>
      <c r="P12" s="55"/>
      <c r="Q12" s="38">
        <f t="shared" si="3"/>
        <v>0</v>
      </c>
    </row>
    <row r="13" spans="2:17" x14ac:dyDescent="0.25">
      <c r="B13" s="323" t="s">
        <v>284</v>
      </c>
      <c r="D13" s="5" t="s">
        <v>39</v>
      </c>
      <c r="E13" s="40">
        <f>-(SUMIF(Предпосылки!$C$265:$C$274,"Да",'Доходы и расходы'!E182:E191)/(1+Налоги!E6)+SUMIF(Предпосылки!$C$265:$C$274,"Нет",'Доходы и расходы'!E182:E191))</f>
        <v>-583.73</v>
      </c>
      <c r="F13" s="40">
        <f>-(SUMIF(Предпосылки!$C$265:$C$274,"Да",'Доходы и расходы'!F182:F191)/(1+Налоги!F6)+SUMIF(Предпосылки!$C$265:$C$274,"Нет",'Доходы и расходы'!F182:F191))</f>
        <v>-1354.50315</v>
      </c>
      <c r="G13" s="40">
        <f>-(SUMIF(Предпосылки!$C$265:$C$274,"Да",'Доходы и расходы'!G182:G191)/(1+Налоги!G6)+SUMIF(Предпосылки!$C$265:$C$274,"Нет",'Доходы и расходы'!G182:G191))</f>
        <v>-887.37321750000001</v>
      </c>
      <c r="H13" s="40">
        <f>-(SUMIF(Предпосылки!$C$265:$C$274,"Да",'Доходы и расходы'!H182:H191)/(1+Налоги!H6)+SUMIF(Предпосылки!$C$265:$C$274,"Нет",'Доходы и расходы'!H182:H191))</f>
        <v>-1063.1946725400001</v>
      </c>
      <c r="I13" s="40">
        <f>-(SUMIF(Предпосылки!$C$265:$C$274,"Да",'Доходы и расходы'!I182:I191)/(1+Налоги!I6)+SUMIF(Предпосылки!$C$265:$C$274,"Нет",'Доходы и расходы'!I182:I191))</f>
        <v>-1132.0178805936002</v>
      </c>
      <c r="J13" s="40">
        <f>-(SUMIF(Предпосылки!$C$265:$C$274,"Да",'Доходы и расходы'!J182:J191)/(1+Налоги!J6)+SUMIF(Предпосылки!$C$265:$C$274,"Нет",'Доходы и расходы'!J182:J191))</f>
        <v>-1206.0131957153283</v>
      </c>
      <c r="K13" s="40">
        <f>-(SUMIF(Предпосылки!$C$265:$C$274,"Да",'Доходы и расходы'!K182:K191)/(1+Налоги!K6)+SUMIF(Предпосылки!$C$265:$C$274,"Нет",'Доходы и расходы'!K182:K191))</f>
        <v>-1439.1210524109622</v>
      </c>
      <c r="L13" s="40">
        <f>-(SUMIF(Предпосылки!$C$265:$C$274,"Да",'Доходы и расходы'!L182:L191)/(1+Налоги!L6)+SUMIF(Предпосылки!$C$265:$C$274,"Нет",'Доходы и расходы'!L182:L191))</f>
        <v>-1527.7436057570603</v>
      </c>
      <c r="M13" s="40">
        <f>-(SUMIF(Предпосылки!$C$265:$C$274,"Да",'Доходы и расходы'!M182:M191)/(1+Налоги!M6)+SUMIF(Предпосылки!$C$265:$C$274,"Нет",'Доходы и расходы'!M182:M191))</f>
        <v>-1650.3771970342873</v>
      </c>
      <c r="N13" s="40">
        <f>-(SUMIF(Предпосылки!$C$265:$C$274,"Да",'Доходы и расходы'!N182:N191)/(1+Налоги!N6)+SUMIF(Предпосылки!$C$265:$C$274,"Нет",'Доходы и расходы'!N182:N191))</f>
        <v>-1925.9425079575519</v>
      </c>
      <c r="O13" s="270">
        <f t="shared" si="1"/>
        <v>-12770.016479508789</v>
      </c>
      <c r="P13" s="55"/>
      <c r="Q13" s="38">
        <f t="shared" si="3"/>
        <v>8.6980692558246194E-3</v>
      </c>
    </row>
    <row r="14" spans="2:17" x14ac:dyDescent="0.25">
      <c r="B14" s="29" t="str">
        <f>"Налог на недвижимое имущество"&amp;" "&amp;+IF(OR(Предпосылки!$C$372="Общий",Предпосылки!$C$372="Другой"),"","(нет: УСН)")</f>
        <v>Налог на недвижимое имущество (нет: УСН)</v>
      </c>
      <c r="D14" s="210" t="s">
        <v>39</v>
      </c>
      <c r="E14" s="40">
        <f>Налоги!E29</f>
        <v>0</v>
      </c>
      <c r="F14" s="40">
        <f>Налоги!F29</f>
        <v>0</v>
      </c>
      <c r="G14" s="40">
        <f>Налоги!G29</f>
        <v>0</v>
      </c>
      <c r="H14" s="40">
        <f>Налоги!H29</f>
        <v>0</v>
      </c>
      <c r="I14" s="40">
        <f>Налоги!I29</f>
        <v>0</v>
      </c>
      <c r="J14" s="40">
        <f>Налоги!J29</f>
        <v>0</v>
      </c>
      <c r="K14" s="40">
        <f>Налоги!K29</f>
        <v>0</v>
      </c>
      <c r="L14" s="40">
        <f>Налоги!L29</f>
        <v>0</v>
      </c>
      <c r="M14" s="40">
        <f>Налоги!M29</f>
        <v>0</v>
      </c>
      <c r="N14" s="40">
        <f>Налоги!N29</f>
        <v>0</v>
      </c>
      <c r="O14" s="270">
        <f t="shared" si="1"/>
        <v>0</v>
      </c>
      <c r="P14" s="55"/>
      <c r="Q14" s="38">
        <f>IFERROR(O14/$O$7,0)</f>
        <v>0</v>
      </c>
    </row>
    <row r="15" spans="2:17" x14ac:dyDescent="0.25">
      <c r="B15" s="29" t="s">
        <v>135</v>
      </c>
      <c r="D15" s="210" t="s">
        <v>39</v>
      </c>
      <c r="E15" s="40">
        <f>Налоги!E46</f>
        <v>0</v>
      </c>
      <c r="F15" s="40">
        <f>Налоги!F46</f>
        <v>0</v>
      </c>
      <c r="G15" s="40">
        <f>Налоги!G46</f>
        <v>0</v>
      </c>
      <c r="H15" s="40">
        <f>Налоги!H46</f>
        <v>0</v>
      </c>
      <c r="I15" s="40">
        <f>Налоги!I46</f>
        <v>0</v>
      </c>
      <c r="J15" s="40">
        <f>Налоги!J46</f>
        <v>0</v>
      </c>
      <c r="K15" s="40">
        <f>Налоги!K46</f>
        <v>0</v>
      </c>
      <c r="L15" s="40">
        <f>Налоги!L46</f>
        <v>0</v>
      </c>
      <c r="M15" s="40">
        <f>Налоги!M46</f>
        <v>0</v>
      </c>
      <c r="N15" s="40">
        <f>Налоги!N46</f>
        <v>0</v>
      </c>
      <c r="O15" s="270">
        <f t="shared" si="1"/>
        <v>0</v>
      </c>
      <c r="P15" s="55"/>
      <c r="Q15" s="38">
        <f t="shared" ref="Q15:Q16" si="4">IFERROR(O15/$O$7,0)</f>
        <v>0</v>
      </c>
    </row>
    <row r="16" spans="2:17" x14ac:dyDescent="0.25">
      <c r="B16" s="29" t="s">
        <v>137</v>
      </c>
      <c r="D16" s="210" t="s">
        <v>39</v>
      </c>
      <c r="E16" s="40">
        <f>Налоги!E63</f>
        <v>0</v>
      </c>
      <c r="F16" s="40">
        <f>Налоги!F63</f>
        <v>0</v>
      </c>
      <c r="G16" s="40">
        <f>Налоги!G63</f>
        <v>0</v>
      </c>
      <c r="H16" s="40">
        <f>Налоги!H63</f>
        <v>0</v>
      </c>
      <c r="I16" s="40">
        <f>Налоги!I63</f>
        <v>0</v>
      </c>
      <c r="J16" s="40">
        <f>Налоги!J63</f>
        <v>0</v>
      </c>
      <c r="K16" s="40">
        <f>Налоги!K63</f>
        <v>0</v>
      </c>
      <c r="L16" s="40">
        <f>Налоги!L63</f>
        <v>0</v>
      </c>
      <c r="M16" s="40">
        <f>Налоги!M63</f>
        <v>0</v>
      </c>
      <c r="N16" s="40">
        <f>Налоги!N63</f>
        <v>0</v>
      </c>
      <c r="O16" s="270">
        <f t="shared" si="1"/>
        <v>0</v>
      </c>
      <c r="P16" s="55"/>
      <c r="Q16" s="38">
        <f t="shared" si="4"/>
        <v>0</v>
      </c>
    </row>
    <row r="17" spans="2:17" x14ac:dyDescent="0.25">
      <c r="B17" s="7" t="str">
        <f>IF(OR(Предпосылки!$C$372="Общий",Предпосылки!$C$372="Другой",Предпосылки!$C$372=""),"Амортизация","Амортизация (нет: УСН)")</f>
        <v>Амортизация (нет: УСН)</v>
      </c>
      <c r="D17" s="5" t="s">
        <v>39</v>
      </c>
      <c r="E17" s="35">
        <f>-IF(Предпосылки!$C$372="Общий",Инвестиции!H99,0)</f>
        <v>0</v>
      </c>
      <c r="F17" s="35">
        <f>-IF(Предпосылки!$C$372="Общий",Инвестиции!I99,0)</f>
        <v>0</v>
      </c>
      <c r="G17" s="35">
        <f>-IF(Предпосылки!$C$372="Общий",Инвестиции!J99,0)</f>
        <v>0</v>
      </c>
      <c r="H17" s="35">
        <f>-IF(Предпосылки!$C$372="Общий",Инвестиции!K99,0)</f>
        <v>0</v>
      </c>
      <c r="I17" s="35">
        <f>-IF(Предпосылки!$C$372="Общий",Инвестиции!L99,0)</f>
        <v>0</v>
      </c>
      <c r="J17" s="35">
        <f>-IF(Предпосылки!$C$372="Общий",Инвестиции!M99,0)</f>
        <v>0</v>
      </c>
      <c r="K17" s="35">
        <f>-IF(Предпосылки!$C$372="Общий",Инвестиции!N99,0)</f>
        <v>0</v>
      </c>
      <c r="L17" s="35">
        <f>-IF(Предпосылки!$C$372="Общий",Инвестиции!O99,0)</f>
        <v>0</v>
      </c>
      <c r="M17" s="35">
        <f>-IF(Предпосылки!$C$372="Общий",Инвестиции!P99,0)</f>
        <v>0</v>
      </c>
      <c r="N17" s="35">
        <f>-IF(Предпосылки!$C$372="Общий",Инвестиции!Q99,0)</f>
        <v>0</v>
      </c>
      <c r="O17" s="270">
        <f t="shared" si="1"/>
        <v>0</v>
      </c>
      <c r="P17" s="55"/>
      <c r="Q17" s="38">
        <f>IFERROR(O17/$O$7,0)</f>
        <v>0</v>
      </c>
    </row>
    <row r="18" spans="2:17" x14ac:dyDescent="0.25">
      <c r="B18" s="3" t="s">
        <v>275</v>
      </c>
      <c r="C18" s="54"/>
      <c r="D18" s="2" t="s">
        <v>39</v>
      </c>
      <c r="E18" s="24">
        <f t="shared" ref="E18:N18" si="5">E5+E7</f>
        <v>-2818.4004800000007</v>
      </c>
      <c r="F18" s="24">
        <f t="shared" si="5"/>
        <v>83770.07638860002</v>
      </c>
      <c r="G18" s="24">
        <f t="shared" si="5"/>
        <v>89898.078588872391</v>
      </c>
      <c r="H18" s="24">
        <f t="shared" si="5"/>
        <v>99711.661709411885</v>
      </c>
      <c r="I18" s="24">
        <f t="shared" si="5"/>
        <v>111515.65325258582</v>
      </c>
      <c r="J18" s="24">
        <f t="shared" si="5"/>
        <v>124103.05809857871</v>
      </c>
      <c r="K18" s="24">
        <f t="shared" si="5"/>
        <v>137364.02614207374</v>
      </c>
      <c r="L18" s="24">
        <f t="shared" si="5"/>
        <v>151648.5110468627</v>
      </c>
      <c r="M18" s="24">
        <f t="shared" si="5"/>
        <v>166826.74847486016</v>
      </c>
      <c r="N18" s="24">
        <f t="shared" si="5"/>
        <v>186030.28190375047</v>
      </c>
      <c r="O18" s="270">
        <f t="shared" si="1"/>
        <v>1148049.6951255959</v>
      </c>
      <c r="P18" s="55"/>
    </row>
    <row r="19" spans="2:17" x14ac:dyDescent="0.25">
      <c r="B19" s="7" t="s">
        <v>276</v>
      </c>
      <c r="D19" s="5" t="s">
        <v>39</v>
      </c>
      <c r="E19" s="10">
        <f>SUM(Финансирование!F23,Финансирование!F41)</f>
        <v>-1500</v>
      </c>
      <c r="F19" s="10">
        <f>SUM(Финансирование!G23,Финансирование!G41)</f>
        <v>-2500</v>
      </c>
      <c r="G19" s="10">
        <f>SUM(Финансирование!H23,Финансирование!H41)</f>
        <v>-2500</v>
      </c>
      <c r="H19" s="10">
        <f>SUM(Финансирование!I23,Финансирование!I41)</f>
        <v>-1706.9785884218882</v>
      </c>
      <c r="I19" s="10">
        <f>SUM(Финансирование!J23,Финансирование!J41)</f>
        <v>-874.30610626487021</v>
      </c>
      <c r="J19" s="10">
        <f>SUM(Финансирование!K23,Финансирование!K41)</f>
        <v>0</v>
      </c>
      <c r="K19" s="10">
        <f>SUM(Финансирование!L23,Финансирование!L41)</f>
        <v>0</v>
      </c>
      <c r="L19" s="10">
        <f>SUM(Финансирование!M23,Финансирование!M41)</f>
        <v>0</v>
      </c>
      <c r="M19" s="10">
        <f>SUM(Финансирование!N23,Финансирование!N41)</f>
        <v>0</v>
      </c>
      <c r="N19" s="10">
        <f>SUM(Финансирование!O23,Финансирование!O41)</f>
        <v>0</v>
      </c>
      <c r="O19" s="270">
        <f t="shared" si="1"/>
        <v>-9081.2846946867576</v>
      </c>
      <c r="P19" s="55"/>
    </row>
    <row r="20" spans="2:17" x14ac:dyDescent="0.25">
      <c r="B20" s="251" t="s">
        <v>371</v>
      </c>
      <c r="C20" s="427"/>
      <c r="D20" s="250" t="s">
        <v>39</v>
      </c>
      <c r="E20" s="62">
        <f>E18+SUM(Финансирование!F29,Финансирование!F47)</f>
        <v>-2818.4004800000007</v>
      </c>
      <c r="F20" s="62">
        <f>F18+SUM(Финансирование!G29,Финансирование!G47)</f>
        <v>81270.07638860002</v>
      </c>
      <c r="G20" s="62">
        <f>G18+SUM(Финансирование!H29,Финансирование!H47)</f>
        <v>87398.078588872391</v>
      </c>
      <c r="H20" s="62">
        <f>H18+SUM(Финансирование!I29,Финансирование!I47)</f>
        <v>98004.683120989997</v>
      </c>
      <c r="I20" s="62">
        <f>I18+SUM(Финансирование!J29,Финансирование!J47)</f>
        <v>110641.34714632096</v>
      </c>
      <c r="J20" s="62">
        <f>J18+SUM(Финансирование!K29,Финансирование!K47)</f>
        <v>124103.05809857871</v>
      </c>
      <c r="K20" s="62">
        <f>K18+SUM(Финансирование!L29,Финансирование!L47)</f>
        <v>137364.02614207374</v>
      </c>
      <c r="L20" s="62">
        <f>L18+SUM(Финансирование!M29,Финансирование!M47)</f>
        <v>151648.5110468627</v>
      </c>
      <c r="M20" s="62">
        <f>M18+SUM(Финансирование!N29,Финансирование!N47)</f>
        <v>166826.74847486016</v>
      </c>
      <c r="N20" s="62">
        <f>N18+SUM(Финансирование!O29,Финансирование!O47)</f>
        <v>186030.28190375047</v>
      </c>
      <c r="O20" s="352">
        <f t="shared" si="1"/>
        <v>1140468.4104309091</v>
      </c>
      <c r="P20" s="55"/>
    </row>
    <row r="21" spans="2:17" x14ac:dyDescent="0.25">
      <c r="B21" s="7" t="str">
        <f>"Налог"&amp;" "&amp;+IF(Предпосылки!C372="Общий","на прибыль",Предпосылки!C372)</f>
        <v>Налог доходы-расходы</v>
      </c>
      <c r="D21" s="5" t="s">
        <v>39</v>
      </c>
      <c r="E21" s="448">
        <f>IF(Предпосылки!$C$372="Общий",Налоги!E35,IF(Предпосылки!$C$372="УСН, доходы",Налоги!E51,IF(Предпосылки!$C$372="УСН, доходы-расходы",Налоги!E60,0)))</f>
        <v>0</v>
      </c>
      <c r="F21" s="448">
        <f>IF(Предпосылки!$C$372="Общий",Налоги!F35,IF(Предпосылки!$C$372="УСН, доходы",Налоги!F51,IF(Предпосылки!$C$372="УСН, доходы-расходы",Налоги!F60,0)))</f>
        <v>0</v>
      </c>
      <c r="G21" s="448">
        <f>IF(Предпосылки!$C$372="Общий",Налоги!G35,IF(Предпосылки!$C$372="УСН, доходы",Налоги!G51,IF(Предпосылки!$C$372="УСН, доходы-расходы",Налоги!G60,0)))</f>
        <v>0</v>
      </c>
      <c r="H21" s="448">
        <f>IF(Предпосылки!$C$372="Общий",Налоги!H35,IF(Предпосылки!$C$372="УСН, доходы",Налоги!H51,IF(Предпосылки!$C$372="УСН, доходы-расходы",Налоги!H60,0)))</f>
        <v>0</v>
      </c>
      <c r="I21" s="448">
        <f>IF(Предпосылки!$C$372="Общий",Налоги!I35,IF(Предпосылки!$C$372="УСН, доходы",Налоги!I51,IF(Предпосылки!$C$372="УСН, доходы-расходы",Налоги!I60,0)))</f>
        <v>0</v>
      </c>
      <c r="J21" s="448">
        <f>IF(Предпосылки!$C$372="Общий",Налоги!J35,IF(Предпосылки!$C$372="УСН, доходы",Налоги!J51,IF(Предпосылки!$C$372="УСН, доходы-расходы",Налоги!J60,0)))</f>
        <v>0</v>
      </c>
      <c r="K21" s="448">
        <f>IF(Предпосылки!$C$372="Общий",Налоги!K35,IF(Предпосылки!$C$372="УСН, доходы",Налоги!K51,IF(Предпосылки!$C$372="УСН, доходы-расходы",Налоги!K60,0)))</f>
        <v>0</v>
      </c>
      <c r="L21" s="448">
        <f>IF(Предпосылки!$C$372="Общий",Налоги!L35,IF(Предпосылки!$C$372="УСН, доходы",Налоги!L51,IF(Предпосылки!$C$372="УСН, доходы-расходы",Налоги!L60,0)))</f>
        <v>0</v>
      </c>
      <c r="M21" s="448">
        <f>IF(Предпосылки!$C$372="Общий",Налоги!M35,IF(Предпосылки!$C$372="УСН, доходы",Налоги!M51,IF(Предпосылки!$C$372="УСН, доходы-расходы",Налоги!M60,0)))</f>
        <v>0</v>
      </c>
      <c r="N21" s="448">
        <f>IF(Предпосылки!$C$372="Общий",Налоги!N35,IF(Предпосылки!$C$372="УСН, доходы",Налоги!N51,IF(Предпосылки!$C$372="УСН, доходы-расходы",Налоги!N60,0)))</f>
        <v>0</v>
      </c>
      <c r="O21" s="270">
        <f t="shared" si="1"/>
        <v>0</v>
      </c>
      <c r="P21" s="55"/>
    </row>
    <row r="22" spans="2:17" x14ac:dyDescent="0.25">
      <c r="B22" s="34" t="s">
        <v>277</v>
      </c>
      <c r="C22" s="57"/>
      <c r="D22" s="58" t="s">
        <v>39</v>
      </c>
      <c r="E22" s="22">
        <f>IFERROR(E20+E21,0)</f>
        <v>-2818.4004800000007</v>
      </c>
      <c r="F22" s="22">
        <f t="shared" ref="F22:N22" si="6">IFERROR(F20+F21,0)</f>
        <v>81270.07638860002</v>
      </c>
      <c r="G22" s="22">
        <f t="shared" si="6"/>
        <v>87398.078588872391</v>
      </c>
      <c r="H22" s="22">
        <f t="shared" si="6"/>
        <v>98004.683120989997</v>
      </c>
      <c r="I22" s="22">
        <f t="shared" si="6"/>
        <v>110641.34714632096</v>
      </c>
      <c r="J22" s="22">
        <f t="shared" si="6"/>
        <v>124103.05809857871</v>
      </c>
      <c r="K22" s="22">
        <f t="shared" si="6"/>
        <v>137364.02614207374</v>
      </c>
      <c r="L22" s="22">
        <f t="shared" si="6"/>
        <v>151648.5110468627</v>
      </c>
      <c r="M22" s="22">
        <f t="shared" si="6"/>
        <v>166826.74847486016</v>
      </c>
      <c r="N22" s="22">
        <f t="shared" si="6"/>
        <v>186030.28190375047</v>
      </c>
      <c r="O22" s="340">
        <f t="shared" si="1"/>
        <v>1140468.4104309091</v>
      </c>
      <c r="P22" s="55"/>
    </row>
    <row r="24" spans="2:17" x14ac:dyDescent="0.25">
      <c r="D24" s="210"/>
      <c r="Q24" s="210"/>
    </row>
    <row r="25" spans="2:17" x14ac:dyDescent="0.25">
      <c r="B25" s="17" t="s">
        <v>81</v>
      </c>
      <c r="D25" s="210" t="s">
        <v>39</v>
      </c>
      <c r="E25" s="40">
        <f t="shared" ref="E25:N25" si="7">E5+SUM(E8:E16)</f>
        <v>-2818.4004800000007</v>
      </c>
      <c r="F25" s="40">
        <f t="shared" si="7"/>
        <v>83770.07638860002</v>
      </c>
      <c r="G25" s="40">
        <f t="shared" si="7"/>
        <v>89898.078588872391</v>
      </c>
      <c r="H25" s="40">
        <f t="shared" si="7"/>
        <v>99711.661709411885</v>
      </c>
      <c r="I25" s="40">
        <f t="shared" si="7"/>
        <v>111515.65325258582</v>
      </c>
      <c r="J25" s="40">
        <f t="shared" si="7"/>
        <v>124103.05809857871</v>
      </c>
      <c r="K25" s="40">
        <f t="shared" si="7"/>
        <v>137364.02614207374</v>
      </c>
      <c r="L25" s="40">
        <f t="shared" si="7"/>
        <v>151648.5110468627</v>
      </c>
      <c r="M25" s="40">
        <f t="shared" si="7"/>
        <v>166826.74847486016</v>
      </c>
      <c r="N25" s="40">
        <f t="shared" si="7"/>
        <v>186030.28190375047</v>
      </c>
      <c r="O25" s="244">
        <f>SUM(E25:N25)</f>
        <v>1148049.6951255959</v>
      </c>
    </row>
    <row r="26" spans="2:17" x14ac:dyDescent="0.25">
      <c r="B26" s="266" t="s">
        <v>285</v>
      </c>
      <c r="C26" s="266"/>
      <c r="D26" s="267" t="s">
        <v>14</v>
      </c>
      <c r="E26" s="268">
        <f t="shared" ref="E26:N26" si="8">IFERROR(E25/E5,0%)</f>
        <v>0</v>
      </c>
      <c r="F26" s="268">
        <f t="shared" si="8"/>
        <v>0.45224603840281774</v>
      </c>
      <c r="G26" s="268">
        <f t="shared" si="8"/>
        <v>0.42997034757260738</v>
      </c>
      <c r="H26" s="268">
        <f t="shared" si="8"/>
        <v>0.42865839636669079</v>
      </c>
      <c r="I26" s="268">
        <f t="shared" si="8"/>
        <v>0.43274257618097511</v>
      </c>
      <c r="J26" s="268">
        <f t="shared" si="8"/>
        <v>0.43635069678591887</v>
      </c>
      <c r="K26" s="268">
        <f t="shared" si="8"/>
        <v>0.43906974968850504</v>
      </c>
      <c r="L26" s="268">
        <f t="shared" si="8"/>
        <v>0.44197734884254791</v>
      </c>
      <c r="M26" s="268">
        <f t="shared" si="8"/>
        <v>0.44452108578471772</v>
      </c>
      <c r="N26" s="268">
        <f t="shared" si="8"/>
        <v>0.44729440358258116</v>
      </c>
      <c r="O26" s="269" t="s">
        <v>36</v>
      </c>
    </row>
    <row r="28" spans="2:17" x14ac:dyDescent="0.25">
      <c r="B28" s="17" t="s">
        <v>82</v>
      </c>
      <c r="D28" s="210" t="s">
        <v>39</v>
      </c>
      <c r="E28" s="40">
        <f t="shared" ref="E28:N28" si="9">E18</f>
        <v>-2818.4004800000007</v>
      </c>
      <c r="F28" s="40">
        <f t="shared" si="9"/>
        <v>83770.07638860002</v>
      </c>
      <c r="G28" s="40">
        <f t="shared" si="9"/>
        <v>89898.078588872391</v>
      </c>
      <c r="H28" s="40">
        <f t="shared" si="9"/>
        <v>99711.661709411885</v>
      </c>
      <c r="I28" s="40">
        <f t="shared" si="9"/>
        <v>111515.65325258582</v>
      </c>
      <c r="J28" s="40">
        <f t="shared" si="9"/>
        <v>124103.05809857871</v>
      </c>
      <c r="K28" s="40">
        <f t="shared" si="9"/>
        <v>137364.02614207374</v>
      </c>
      <c r="L28" s="40">
        <f t="shared" si="9"/>
        <v>151648.5110468627</v>
      </c>
      <c r="M28" s="40">
        <f t="shared" si="9"/>
        <v>166826.74847486016</v>
      </c>
      <c r="N28" s="40">
        <f t="shared" si="9"/>
        <v>186030.28190375047</v>
      </c>
      <c r="O28" s="270">
        <f>SUM(E28:N28)</f>
        <v>1148049.6951255959</v>
      </c>
    </row>
    <row r="29" spans="2:17" x14ac:dyDescent="0.25">
      <c r="B29" s="266" t="s">
        <v>286</v>
      </c>
      <c r="C29" s="266"/>
      <c r="D29" s="267" t="s">
        <v>14</v>
      </c>
      <c r="E29" s="268">
        <f t="shared" ref="E29:N29" si="10">IFERROR(E28/E5,0%)</f>
        <v>0</v>
      </c>
      <c r="F29" s="268">
        <f t="shared" si="10"/>
        <v>0.45224603840281774</v>
      </c>
      <c r="G29" s="268">
        <f t="shared" si="10"/>
        <v>0.42997034757260738</v>
      </c>
      <c r="H29" s="268">
        <f t="shared" si="10"/>
        <v>0.42865839636669079</v>
      </c>
      <c r="I29" s="268">
        <f t="shared" si="10"/>
        <v>0.43274257618097511</v>
      </c>
      <c r="J29" s="268">
        <f t="shared" si="10"/>
        <v>0.43635069678591887</v>
      </c>
      <c r="K29" s="268">
        <f t="shared" si="10"/>
        <v>0.43906974968850504</v>
      </c>
      <c r="L29" s="268">
        <f t="shared" si="10"/>
        <v>0.44197734884254791</v>
      </c>
      <c r="M29" s="268">
        <f t="shared" si="10"/>
        <v>0.44452108578471772</v>
      </c>
      <c r="N29" s="268">
        <f t="shared" si="10"/>
        <v>0.44729440358258116</v>
      </c>
      <c r="O29" s="271" t="s">
        <v>36</v>
      </c>
    </row>
  </sheetData>
  <conditionalFormatting sqref="Q8:Q17">
    <cfRule type="cellIs" dxfId="3" priority="1" operator="greater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47"/>
  <sheetViews>
    <sheetView showGridLines="0" zoomScale="85" zoomScaleNormal="85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N42" sqref="N42"/>
    </sheetView>
  </sheetViews>
  <sheetFormatPr defaultColWidth="8.85546875" defaultRowHeight="15" x14ac:dyDescent="0.25"/>
  <cols>
    <col min="1" max="1" width="69.28515625" style="7" customWidth="1"/>
    <col min="2" max="2" width="2.42578125" style="7" customWidth="1"/>
    <col min="3" max="3" width="8.42578125" style="7" bestFit="1" customWidth="1"/>
    <col min="4" max="13" width="12.140625" style="19" customWidth="1"/>
    <col min="14" max="14" width="11.28515625" style="350" customWidth="1"/>
    <col min="15" max="15" width="11.7109375" style="33" bestFit="1" customWidth="1"/>
    <col min="16" max="16" width="8.85546875" style="33"/>
  </cols>
  <sheetData>
    <row r="1" spans="1:14" x14ac:dyDescent="0.25">
      <c r="A1" s="50" t="s">
        <v>83</v>
      </c>
      <c r="B1" s="2"/>
      <c r="C1" s="2" t="s">
        <v>52</v>
      </c>
      <c r="D1" s="49">
        <f>Предпосылки!G24</f>
        <v>2022</v>
      </c>
      <c r="E1" s="49">
        <f>Предпосылки!H24</f>
        <v>2023</v>
      </c>
      <c r="F1" s="49">
        <f>Предпосылки!I24</f>
        <v>2024</v>
      </c>
      <c r="G1" s="49">
        <f>Предпосылки!J24</f>
        <v>2025</v>
      </c>
      <c r="H1" s="49">
        <f>Предпосылки!K24</f>
        <v>2026</v>
      </c>
      <c r="I1" s="49">
        <f>Предпосылки!L24</f>
        <v>2027</v>
      </c>
      <c r="J1" s="49">
        <f>Предпосылки!M24</f>
        <v>2028</v>
      </c>
      <c r="K1" s="49">
        <f>Предпосылки!N24</f>
        <v>2029</v>
      </c>
      <c r="L1" s="49">
        <f>Предпосылки!O24</f>
        <v>2030</v>
      </c>
      <c r="M1" s="49">
        <f>Предпосылки!P24</f>
        <v>2031</v>
      </c>
      <c r="N1" s="60" t="s">
        <v>6</v>
      </c>
    </row>
    <row r="2" spans="1:14" x14ac:dyDescent="0.25">
      <c r="A2" s="50"/>
      <c r="B2" s="2"/>
      <c r="C2" s="2"/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60"/>
    </row>
    <row r="3" spans="1:14" x14ac:dyDescent="0.25">
      <c r="A3" s="457" t="s">
        <v>423</v>
      </c>
      <c r="B3" s="2"/>
      <c r="C3" s="2"/>
      <c r="D3" s="458">
        <f>IF(SUM(Предпосылки!G41:G50)=0,1,0)</f>
        <v>1</v>
      </c>
      <c r="E3" s="458">
        <f>IF(SUM(Предпосылки!H41:H50)=0,1,0)</f>
        <v>0</v>
      </c>
      <c r="F3" s="458">
        <f>IF(SUM(Предпосылки!I41:I50)=0,1,0)</f>
        <v>0</v>
      </c>
      <c r="G3" s="458">
        <f>IF(SUM(Предпосылки!J41:J50)=0,1,0)</f>
        <v>0</v>
      </c>
      <c r="H3" s="458">
        <f>IF(SUM(Предпосылки!K41:K50)=0,1,0)</f>
        <v>0</v>
      </c>
      <c r="I3" s="458">
        <f>IF(SUM(Предпосылки!L41:L50)=0,1,0)</f>
        <v>0</v>
      </c>
      <c r="J3" s="458">
        <f>IF(SUM(Предпосылки!M41:M50)=0,1,0)</f>
        <v>0</v>
      </c>
      <c r="K3" s="458">
        <f>IF(SUM(Предпосылки!N41:N50)=0,1,0)</f>
        <v>0</v>
      </c>
      <c r="L3" s="458">
        <f>IF(SUM(Предпосылки!O41:O50)=0,1,0)</f>
        <v>0</v>
      </c>
      <c r="M3" s="458">
        <f>IF(SUM(Предпосылки!P41:P50)=0,1,0)</f>
        <v>0</v>
      </c>
      <c r="N3" s="60"/>
    </row>
    <row r="4" spans="1:14" x14ac:dyDescent="0.25">
      <c r="A4" s="457" t="s">
        <v>424</v>
      </c>
      <c r="B4" s="2"/>
      <c r="C4" s="2"/>
      <c r="D4" s="458">
        <f>1-D3</f>
        <v>0</v>
      </c>
      <c r="E4" s="458">
        <f t="shared" ref="E4:M4" si="0">1-E3</f>
        <v>1</v>
      </c>
      <c r="F4" s="458">
        <f t="shared" si="0"/>
        <v>1</v>
      </c>
      <c r="G4" s="458">
        <f t="shared" si="0"/>
        <v>1</v>
      </c>
      <c r="H4" s="458">
        <f t="shared" si="0"/>
        <v>1</v>
      </c>
      <c r="I4" s="458">
        <f t="shared" si="0"/>
        <v>1</v>
      </c>
      <c r="J4" s="458">
        <f t="shared" si="0"/>
        <v>1</v>
      </c>
      <c r="K4" s="458">
        <f t="shared" si="0"/>
        <v>1</v>
      </c>
      <c r="L4" s="458">
        <f t="shared" si="0"/>
        <v>1</v>
      </c>
      <c r="M4" s="458">
        <f t="shared" si="0"/>
        <v>1</v>
      </c>
      <c r="N4" s="60"/>
    </row>
    <row r="5" spans="1:14" x14ac:dyDescent="0.25">
      <c r="A5" s="50"/>
      <c r="B5" s="2"/>
      <c r="C5" s="2"/>
      <c r="D5" s="4"/>
      <c r="E5" s="4"/>
      <c r="F5" s="4"/>
      <c r="G5" s="4"/>
      <c r="H5" s="4"/>
      <c r="I5" s="4"/>
      <c r="J5" s="4"/>
      <c r="K5" s="4"/>
      <c r="L5" s="4"/>
      <c r="M5" s="4"/>
      <c r="N5" s="60"/>
    </row>
    <row r="6" spans="1:14" x14ac:dyDescent="0.25">
      <c r="A6" s="189" t="s">
        <v>290</v>
      </c>
      <c r="B6" s="2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349"/>
    </row>
    <row r="7" spans="1:14" x14ac:dyDescent="0.25">
      <c r="A7" s="2"/>
      <c r="B7" s="2"/>
      <c r="C7" s="2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4" x14ac:dyDescent="0.25">
      <c r="A8" s="254" t="s">
        <v>287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351"/>
    </row>
    <row r="9" spans="1:14" x14ac:dyDescent="0.25">
      <c r="A9" s="3" t="s">
        <v>84</v>
      </c>
      <c r="B9" s="3"/>
      <c r="C9" s="15" t="s">
        <v>39</v>
      </c>
      <c r="D9" s="62">
        <f>D10</f>
        <v>0</v>
      </c>
      <c r="E9" s="62">
        <f t="shared" ref="E9:M9" si="1">E10</f>
        <v>185231.2</v>
      </c>
      <c r="F9" s="62">
        <f t="shared" si="1"/>
        <v>209079.717</v>
      </c>
      <c r="G9" s="62">
        <f t="shared" si="1"/>
        <v>232613.34096000003</v>
      </c>
      <c r="H9" s="62">
        <f t="shared" si="1"/>
        <v>257695.12728960003</v>
      </c>
      <c r="I9" s="62">
        <f t="shared" si="1"/>
        <v>284411.27518003207</v>
      </c>
      <c r="J9" s="62">
        <f t="shared" si="1"/>
        <v>312852.40269803529</v>
      </c>
      <c r="K9" s="62">
        <f t="shared" si="1"/>
        <v>343113.76237719069</v>
      </c>
      <c r="L9" s="62">
        <f t="shared" si="1"/>
        <v>375295.46698636166</v>
      </c>
      <c r="M9" s="62">
        <f t="shared" si="1"/>
        <v>415901.20603734505</v>
      </c>
      <c r="N9" s="352">
        <f t="shared" ref="N9:N25" si="2">SUM(D9:M9)</f>
        <v>2616193.4985285648</v>
      </c>
    </row>
    <row r="10" spans="1:14" x14ac:dyDescent="0.25">
      <c r="A10" s="29" t="s">
        <v>291</v>
      </c>
      <c r="C10" s="5" t="s">
        <v>39</v>
      </c>
      <c r="D10" s="35">
        <f>'Доходы и расходы'!E44</f>
        <v>0</v>
      </c>
      <c r="E10" s="35">
        <f>'Доходы и расходы'!F44</f>
        <v>185231.2</v>
      </c>
      <c r="F10" s="35">
        <f>'Доходы и расходы'!G44</f>
        <v>209079.717</v>
      </c>
      <c r="G10" s="35">
        <f>'Доходы и расходы'!H44</f>
        <v>232613.34096000003</v>
      </c>
      <c r="H10" s="35">
        <f>'Доходы и расходы'!I44</f>
        <v>257695.12728960003</v>
      </c>
      <c r="I10" s="35">
        <f>'Доходы и расходы'!J44</f>
        <v>284411.27518003207</v>
      </c>
      <c r="J10" s="35">
        <f>'Доходы и расходы'!K44</f>
        <v>312852.40269803529</v>
      </c>
      <c r="K10" s="35">
        <f>'Доходы и расходы'!L44</f>
        <v>343113.76237719069</v>
      </c>
      <c r="L10" s="35">
        <f>'Доходы и расходы'!M44</f>
        <v>375295.46698636166</v>
      </c>
      <c r="M10" s="35">
        <f>'Доходы и расходы'!N44</f>
        <v>415901.20603734505</v>
      </c>
      <c r="N10" s="352">
        <f t="shared" si="2"/>
        <v>2616193.4985285648</v>
      </c>
    </row>
    <row r="11" spans="1:14" s="33" customFormat="1" x14ac:dyDescent="0.25">
      <c r="A11" s="3" t="s">
        <v>85</v>
      </c>
      <c r="B11" s="3"/>
      <c r="C11" s="15" t="s">
        <v>39</v>
      </c>
      <c r="D11" s="62">
        <f ca="1">SUM(D12:D24)</f>
        <v>0</v>
      </c>
      <c r="E11" s="62">
        <f ca="1">SUM(E12:E24)</f>
        <v>-142051.55075361644</v>
      </c>
      <c r="F11" s="62">
        <f ca="1">SUM(F12:F24)</f>
        <v>-126503.05609032084</v>
      </c>
      <c r="G11" s="62">
        <f t="shared" ref="G11:M11" ca="1" si="3">SUM(G12:G24)</f>
        <v>-139497.73961073681</v>
      </c>
      <c r="H11" s="62">
        <f t="shared" ca="1" si="3"/>
        <v>-152183.64531457049</v>
      </c>
      <c r="I11" s="62">
        <f t="shared" ca="1" si="3"/>
        <v>-165772.06419592045</v>
      </c>
      <c r="J11" s="62">
        <f t="shared" ca="1" si="3"/>
        <v>-181365.75017532025</v>
      </c>
      <c r="K11" s="62">
        <f t="shared" ca="1" si="3"/>
        <v>-197654.87436182471</v>
      </c>
      <c r="L11" s="62">
        <f t="shared" ca="1" si="3"/>
        <v>-215061.81664463761</v>
      </c>
      <c r="M11" s="62">
        <f t="shared" ca="1" si="3"/>
        <v>-238224.55093326161</v>
      </c>
      <c r="N11" s="352">
        <f t="shared" ca="1" si="2"/>
        <v>-1558315.0480802094</v>
      </c>
    </row>
    <row r="12" spans="1:14" s="33" customFormat="1" x14ac:dyDescent="0.25">
      <c r="A12" s="56" t="s">
        <v>280</v>
      </c>
      <c r="B12" s="3"/>
      <c r="C12" s="5" t="s">
        <v>39</v>
      </c>
      <c r="D12" s="63">
        <f>-'Доходы и расходы'!E84*D4</f>
        <v>0</v>
      </c>
      <c r="E12" s="63">
        <f>-'Доходы и расходы'!F84*E4</f>
        <v>-92615.6</v>
      </c>
      <c r="F12" s="63">
        <f>-'Доходы и расходы'!G84*F4</f>
        <v>-104539.8585</v>
      </c>
      <c r="G12" s="63">
        <f>-'Доходы и расходы'!H84*G4</f>
        <v>-116306.67048000002</v>
      </c>
      <c r="H12" s="63">
        <f>-'Доходы и расходы'!I84*H4</f>
        <v>-128847.56364480002</v>
      </c>
      <c r="I12" s="63">
        <f>-'Доходы и расходы'!J84*I4</f>
        <v>-142205.63759001603</v>
      </c>
      <c r="J12" s="63">
        <f>-'Доходы и расходы'!K84*J4</f>
        <v>-156426.20134901765</v>
      </c>
      <c r="K12" s="63">
        <f>-'Доходы и расходы'!L84*K4</f>
        <v>-171556.88118859535</v>
      </c>
      <c r="L12" s="63">
        <f>-'Доходы и расходы'!M84*L4</f>
        <v>-187647.73349318083</v>
      </c>
      <c r="M12" s="63">
        <f>-'Доходы и расходы'!N84*M4</f>
        <v>-207950.60301867253</v>
      </c>
      <c r="N12" s="352">
        <f t="shared" si="2"/>
        <v>-1308096.7492642824</v>
      </c>
    </row>
    <row r="13" spans="1:14" s="33" customFormat="1" x14ac:dyDescent="0.25">
      <c r="A13" s="56" t="s">
        <v>279</v>
      </c>
      <c r="B13" s="3"/>
      <c r="C13" s="5" t="s">
        <v>39</v>
      </c>
      <c r="D13" s="63">
        <f>-'Доходы и расходы'!E109*D4</f>
        <v>0</v>
      </c>
      <c r="E13" s="63">
        <f>-'Доходы и расходы'!F109*E4</f>
        <v>-919.90444699999989</v>
      </c>
      <c r="F13" s="63">
        <f>-'Доходы и расходы'!G109*F4</f>
        <v>-1009.17430845</v>
      </c>
      <c r="G13" s="63">
        <f>-'Доходы и расходы'!H109*G4</f>
        <v>-1094.5469054519999</v>
      </c>
      <c r="H13" s="63">
        <f>-'Доходы и расходы'!I109*H4</f>
        <v>-1185.1346313206402</v>
      </c>
      <c r="I13" s="63">
        <f>-'Доходы и расходы'!J109*I4</f>
        <v>-1281.2181002100483</v>
      </c>
      <c r="J13" s="63">
        <f>-'Доходы и расходы'!K109*J4</f>
        <v>-1383.092031200496</v>
      </c>
      <c r="K13" s="63">
        <f>-'Доходы и расходы'!L109*K4</f>
        <v>-1491.0659277098432</v>
      </c>
      <c r="L13" s="63">
        <f>-'Доходы и расходы'!M109*L4</f>
        <v>-1605.4647886900175</v>
      </c>
      <c r="M13" s="63">
        <f>-'Доходы и расходы'!N109*M4</f>
        <v>-1726.62985306427</v>
      </c>
      <c r="N13" s="352">
        <f t="shared" si="2"/>
        <v>-11696.230993097317</v>
      </c>
    </row>
    <row r="14" spans="1:14" s="33" customFormat="1" x14ac:dyDescent="0.25">
      <c r="A14" s="56" t="s">
        <v>281</v>
      </c>
      <c r="B14" s="3"/>
      <c r="C14" s="5" t="s">
        <v>39</v>
      </c>
      <c r="D14" s="63">
        <f>-'Доходы и расходы'!E176*D4</f>
        <v>0</v>
      </c>
      <c r="E14" s="63">
        <f>-'Доходы и расходы'!F176*E4</f>
        <v>-5031.4824000000008</v>
      </c>
      <c r="F14" s="63">
        <f>-'Доходы и расходы'!G176*F4</f>
        <v>-9758.9834496000021</v>
      </c>
      <c r="G14" s="63">
        <f>-'Доходы и расходы'!H176*G4</f>
        <v>-11054.569060180802</v>
      </c>
      <c r="H14" s="63">
        <f>-'Доходы и расходы'!I176*H4</f>
        <v>-11496.751822588034</v>
      </c>
      <c r="I14" s="63">
        <f>-'Доходы и расходы'!J176*I4</f>
        <v>-11956.621895491557</v>
      </c>
      <c r="J14" s="63">
        <f>-'Доходы и расходы'!K176*J4</f>
        <v>-12434.886771311219</v>
      </c>
      <c r="K14" s="63">
        <f>-'Доходы и расходы'!L176*K4</f>
        <v>-12932.282242163667</v>
      </c>
      <c r="L14" s="63">
        <f>-'Доходы и расходы'!M176*L4</f>
        <v>-13449.573531850216</v>
      </c>
      <c r="M14" s="63">
        <f>-'Доходы и расходы'!N176*M4</f>
        <v>-13987.556473124223</v>
      </c>
      <c r="N14" s="352">
        <f t="shared" si="2"/>
        <v>-102102.70764630972</v>
      </c>
    </row>
    <row r="15" spans="1:14" s="33" customFormat="1" x14ac:dyDescent="0.25">
      <c r="A15" s="56" t="s">
        <v>28</v>
      </c>
      <c r="B15" s="3"/>
      <c r="C15" s="5" t="s">
        <v>39</v>
      </c>
      <c r="D15" s="63">
        <f>-'Доходы и расходы'!E178*D4</f>
        <v>0</v>
      </c>
      <c r="E15" s="63">
        <f>-'Доходы и расходы'!F178*E4</f>
        <v>-1539.6336144000004</v>
      </c>
      <c r="F15" s="63">
        <f>-'Доходы и расходы'!G178*F4</f>
        <v>-2986.2489355776011</v>
      </c>
      <c r="G15" s="63">
        <f>-'Доходы и расходы'!H178*G4</f>
        <v>-3382.6981324153257</v>
      </c>
      <c r="H15" s="63">
        <f>-'Доходы и расходы'!I178*H4</f>
        <v>-3518.0060577119389</v>
      </c>
      <c r="I15" s="63">
        <f>-'Доходы и расходы'!J178*I4</f>
        <v>-3658.7263000204171</v>
      </c>
      <c r="J15" s="63">
        <f>-'Доходы и расходы'!K178*J4</f>
        <v>-3805.0753520212338</v>
      </c>
      <c r="K15" s="63">
        <f>-'Доходы и расходы'!L178*K4</f>
        <v>-3957.2783661020826</v>
      </c>
      <c r="L15" s="63">
        <f>-'Доходы и расходы'!M178*L4</f>
        <v>-4115.5695007461663</v>
      </c>
      <c r="M15" s="63">
        <f>-'Доходы и расходы'!N178*M4</f>
        <v>-4280.1922807760129</v>
      </c>
      <c r="N15" s="352">
        <f t="shared" si="2"/>
        <v>-31243.428539770779</v>
      </c>
    </row>
    <row r="16" spans="1:14" s="33" customFormat="1" x14ac:dyDescent="0.25">
      <c r="A16" s="56" t="s">
        <v>282</v>
      </c>
      <c r="B16" s="3"/>
      <c r="C16" s="5" t="s">
        <v>39</v>
      </c>
      <c r="D16" s="63">
        <f>-SUM('Доходы и расходы'!E206,'Доходы и расходы'!E219,'Доходы и расходы'!E232)*D4</f>
        <v>0</v>
      </c>
      <c r="E16" s="63">
        <f>-SUM('Доходы и расходы'!F206,'Доходы и расходы'!F219,'Доходы и расходы'!F232)*E4</f>
        <v>0</v>
      </c>
      <c r="F16" s="63">
        <f>-SUM('Доходы и расходы'!G206,'Доходы и расходы'!G219,'Доходы и расходы'!G232)*F4</f>
        <v>0</v>
      </c>
      <c r="G16" s="63">
        <f>-SUM('Доходы и расходы'!H206,'Доходы и расходы'!H219,'Доходы и расходы'!H232)*G4</f>
        <v>0</v>
      </c>
      <c r="H16" s="63">
        <f>-SUM('Доходы и расходы'!I206,'Доходы и расходы'!I219,'Доходы и расходы'!I232)*H4</f>
        <v>0</v>
      </c>
      <c r="I16" s="63">
        <f>-SUM('Доходы и расходы'!J206,'Доходы и расходы'!J219,'Доходы и расходы'!J232)*I4</f>
        <v>0</v>
      </c>
      <c r="J16" s="63">
        <f>-SUM('Доходы и расходы'!K206,'Доходы и расходы'!K219,'Доходы и расходы'!K232)*J4</f>
        <v>0</v>
      </c>
      <c r="K16" s="63">
        <f>-SUM('Доходы и расходы'!L206,'Доходы и расходы'!L219,'Доходы и расходы'!L232)*K4</f>
        <v>0</v>
      </c>
      <c r="L16" s="63">
        <f>-SUM('Доходы и расходы'!M206,'Доходы и расходы'!M219,'Доходы и расходы'!M232)*L4</f>
        <v>0</v>
      </c>
      <c r="M16" s="63">
        <f>-SUM('Доходы и расходы'!N206,'Доходы и расходы'!N219,'Доходы и расходы'!N232)*M4</f>
        <v>0</v>
      </c>
      <c r="N16" s="352">
        <f t="shared" si="2"/>
        <v>0</v>
      </c>
    </row>
    <row r="17" spans="1:14" s="33" customFormat="1" x14ac:dyDescent="0.25">
      <c r="A17" s="7" t="s">
        <v>284</v>
      </c>
      <c r="B17" s="7"/>
      <c r="C17" s="5" t="s">
        <v>39</v>
      </c>
      <c r="D17" s="63">
        <f>-SUM('Доходы и расходы'!E182:E191)*D4</f>
        <v>0</v>
      </c>
      <c r="E17" s="63">
        <f>-SUM('Доходы и расходы'!F182:F191)*E4</f>
        <v>-1354.50315</v>
      </c>
      <c r="F17" s="63">
        <f>-SUM('Доходы и расходы'!G182:G191)*F4</f>
        <v>-887.37321750000001</v>
      </c>
      <c r="G17" s="63">
        <f>-SUM('Доходы и расходы'!H182:H191)*G4</f>
        <v>-1063.1946725400001</v>
      </c>
      <c r="H17" s="63">
        <f>-SUM('Доходы и расходы'!I182:I191)*H4</f>
        <v>-1132.0178805936002</v>
      </c>
      <c r="I17" s="63">
        <f>-SUM('Доходы и расходы'!J182:J191)*I4</f>
        <v>-1206.0131957153283</v>
      </c>
      <c r="J17" s="63">
        <f>-SUM('Доходы и расходы'!K182:K191)*J4</f>
        <v>-1439.1210524109622</v>
      </c>
      <c r="K17" s="63">
        <f>-SUM('Доходы и расходы'!L182:L191)*K4</f>
        <v>-1527.7436057570603</v>
      </c>
      <c r="L17" s="63">
        <f>-SUM('Доходы и расходы'!M182:M191)*L4</f>
        <v>-1650.3771970342873</v>
      </c>
      <c r="M17" s="63">
        <f>-SUM('Доходы и расходы'!N182:N191)*M4</f>
        <v>-1925.9425079575519</v>
      </c>
      <c r="N17" s="352">
        <f t="shared" si="2"/>
        <v>-12186.28647950879</v>
      </c>
    </row>
    <row r="18" spans="1:14" s="33" customFormat="1" x14ac:dyDescent="0.25">
      <c r="A18" s="7" t="s">
        <v>70</v>
      </c>
      <c r="B18" s="7"/>
      <c r="C18" s="5" t="s">
        <v>39</v>
      </c>
      <c r="D18" s="63">
        <f ca="1">IF(D2=1,0,OFFSET(Налоги!E29,0,-1))*D4</f>
        <v>0</v>
      </c>
      <c r="E18" s="63">
        <f ca="1">IF(E2=1,0,OFFSET(Налоги!F29,0,-1))*E4</f>
        <v>0</v>
      </c>
      <c r="F18" s="63">
        <f ca="1">IF(F2=1,0,OFFSET(Налоги!G29,0,-1))*F4</f>
        <v>0</v>
      </c>
      <c r="G18" s="63">
        <f ca="1">IF(G2=1,0,OFFSET(Налоги!H29,0,-1))*G4</f>
        <v>0</v>
      </c>
      <c r="H18" s="63">
        <f ca="1">IF(H2=1,0,OFFSET(Налоги!I29,0,-1))*H4</f>
        <v>0</v>
      </c>
      <c r="I18" s="63">
        <f ca="1">IF(I2=1,0,OFFSET(Налоги!J29,0,-1))*I4</f>
        <v>0</v>
      </c>
      <c r="J18" s="63">
        <f ca="1">IF(J2=1,0,OFFSET(Налоги!K29,0,-1))*J4</f>
        <v>0</v>
      </c>
      <c r="K18" s="63">
        <f ca="1">IF(K2=1,0,OFFSET(Налоги!L29,0,-1))*K4</f>
        <v>0</v>
      </c>
      <c r="L18" s="63">
        <f ca="1">IF(L2=1,0,OFFSET(Налоги!M29,0,-1))*L4</f>
        <v>0</v>
      </c>
      <c r="M18" s="63">
        <f ca="1">IF(M2=1,0,OFFSET(Налоги!N29,0,-1))*M4</f>
        <v>0</v>
      </c>
      <c r="N18" s="352">
        <f t="shared" ca="1" si="2"/>
        <v>0</v>
      </c>
    </row>
    <row r="19" spans="1:14" s="33" customFormat="1" x14ac:dyDescent="0.25">
      <c r="A19" s="7" t="s">
        <v>135</v>
      </c>
      <c r="B19" s="7"/>
      <c r="C19" s="210" t="s">
        <v>39</v>
      </c>
      <c r="D19" s="63">
        <f ca="1">IF(D2=1,0,OFFSET(Налоги!E46,0,-1))*D4</f>
        <v>0</v>
      </c>
      <c r="E19" s="63">
        <f ca="1">IF(E2=1,0,OFFSET(Налоги!F46,0,-1))*E4</f>
        <v>0</v>
      </c>
      <c r="F19" s="63">
        <f ca="1">IF(F2=1,0,OFFSET(Налоги!G46,0,-1))*F4</f>
        <v>0</v>
      </c>
      <c r="G19" s="63">
        <f ca="1">IF(G2=1,0,OFFSET(Налоги!H46,0,-1))*G4</f>
        <v>0</v>
      </c>
      <c r="H19" s="63">
        <f ca="1">IF(H2=1,0,OFFSET(Налоги!I46,0,-1))*H4</f>
        <v>0</v>
      </c>
      <c r="I19" s="63">
        <f ca="1">IF(I2=1,0,OFFSET(Налоги!J46,0,-1))*I4</f>
        <v>0</v>
      </c>
      <c r="J19" s="63">
        <f ca="1">IF(J2=1,0,OFFSET(Налоги!K46,0,-1))*J4</f>
        <v>0</v>
      </c>
      <c r="K19" s="63">
        <f ca="1">IF(K2=1,0,OFFSET(Налоги!L46,0,-1))*K4</f>
        <v>0</v>
      </c>
      <c r="L19" s="63">
        <f ca="1">IF(L2=1,0,OFFSET(Налоги!M46,0,-1))*L4</f>
        <v>0</v>
      </c>
      <c r="M19" s="63">
        <f ca="1">IF(M2=1,0,OFFSET(Налоги!N46,0,-1))*M4</f>
        <v>0</v>
      </c>
      <c r="N19" s="352">
        <f t="shared" ca="1" si="2"/>
        <v>0</v>
      </c>
    </row>
    <row r="20" spans="1:14" s="33" customFormat="1" x14ac:dyDescent="0.25">
      <c r="A20" s="231" t="s">
        <v>137</v>
      </c>
      <c r="B20" s="7"/>
      <c r="C20" s="5" t="s">
        <v>39</v>
      </c>
      <c r="D20" s="63">
        <f ca="1">IF(D2=1,0,OFFSET(Налоги!E63,0,-1))*D4</f>
        <v>0</v>
      </c>
      <c r="E20" s="63">
        <f ca="1">IF(E2=1,0,OFFSET(Налоги!F63,0,-1))*E4</f>
        <v>0</v>
      </c>
      <c r="F20" s="63">
        <f ca="1">IF(F2=1,0,OFFSET(Налоги!G63,0,-1))*F4</f>
        <v>0</v>
      </c>
      <c r="G20" s="63">
        <f ca="1">IF(G2=1,0,OFFSET(Налоги!H63,0,-1))*G4</f>
        <v>0</v>
      </c>
      <c r="H20" s="63">
        <f ca="1">IF(H2=1,0,OFFSET(Налоги!I63,0,-1))*H4</f>
        <v>0</v>
      </c>
      <c r="I20" s="63">
        <f ca="1">IF(I2=1,0,OFFSET(Налоги!J63,0,-1))*I4</f>
        <v>0</v>
      </c>
      <c r="J20" s="63">
        <f ca="1">IF(J2=1,0,OFFSET(Налоги!K63,0,-1))*J4</f>
        <v>0</v>
      </c>
      <c r="K20" s="63">
        <f ca="1">IF(K2=1,0,OFFSET(Налоги!L63,0,-1))*K4</f>
        <v>0</v>
      </c>
      <c r="L20" s="63">
        <f ca="1">IF(L2=1,0,OFFSET(Налоги!M63,0,-1))*L4</f>
        <v>0</v>
      </c>
      <c r="M20" s="63">
        <f ca="1">IF(M2=1,0,OFFSET(Налоги!N63,0,-1))*M4</f>
        <v>0</v>
      </c>
      <c r="N20" s="352">
        <f t="shared" ca="1" si="2"/>
        <v>0</v>
      </c>
    </row>
    <row r="21" spans="1:14" s="33" customFormat="1" x14ac:dyDescent="0.25">
      <c r="A21" s="231" t="str">
        <f>БДР!B21</f>
        <v>Налог доходы-расходы</v>
      </c>
      <c r="B21" s="7"/>
      <c r="C21" s="5" t="s">
        <v>39</v>
      </c>
      <c r="D21" s="447">
        <f ca="1">IF(D2=1,0,OFFSET(БДР!E21,0,-1))</f>
        <v>0</v>
      </c>
      <c r="E21" s="447">
        <f ca="1">IF(E2=1,0,OFFSET(БДР!F21,0,-1))</f>
        <v>0</v>
      </c>
      <c r="F21" s="447">
        <f ca="1">IF(F2=1,0,OFFSET(БДР!G21,0,-1))</f>
        <v>0</v>
      </c>
      <c r="G21" s="447">
        <f ca="1">IF(G2=1,0,OFFSET(БДР!H21,0,-1))</f>
        <v>0</v>
      </c>
      <c r="H21" s="447">
        <f ca="1">IF(H2=1,0,OFFSET(БДР!I21,0,-1))</f>
        <v>0</v>
      </c>
      <c r="I21" s="447">
        <f ca="1">IF(I2=1,0,OFFSET(БДР!J21,0,-1))</f>
        <v>0</v>
      </c>
      <c r="J21" s="447">
        <f ca="1">IF(J2=1,0,OFFSET(БДР!K21,0,-1))</f>
        <v>0</v>
      </c>
      <c r="K21" s="447">
        <f ca="1">IF(K2=1,0,OFFSET(БДР!L21,0,-1))</f>
        <v>0</v>
      </c>
      <c r="L21" s="447">
        <f ca="1">IF(L2=1,0,OFFSET(БДР!M21,0,-1))</f>
        <v>0</v>
      </c>
      <c r="M21" s="447">
        <f ca="1">IF(M2=1,0,OFFSET(БДР!N21,0,-1))</f>
        <v>0</v>
      </c>
      <c r="N21" s="352">
        <f t="shared" ca="1" si="2"/>
        <v>0</v>
      </c>
    </row>
    <row r="22" spans="1:14" s="33" customFormat="1" x14ac:dyDescent="0.25">
      <c r="A22" s="7" t="s">
        <v>355</v>
      </c>
      <c r="B22" s="7"/>
      <c r="C22" s="210" t="s">
        <v>39</v>
      </c>
      <c r="D22" s="63">
        <f>SUM(Финансирование!F29,Финансирование!F47)</f>
        <v>0</v>
      </c>
      <c r="E22" s="63">
        <f>SUM(Финансирование!G29,Финансирование!G47)</f>
        <v>-2500</v>
      </c>
      <c r="F22" s="63">
        <f>SUM(Финансирование!H29,Финансирование!H47)</f>
        <v>-2500</v>
      </c>
      <c r="G22" s="63">
        <f>SUM(Финансирование!I29,Финансирование!I47)</f>
        <v>-1706.9785884218882</v>
      </c>
      <c r="H22" s="63">
        <f>SUM(Финансирование!J29,Финансирование!J47)</f>
        <v>-874.30610626487021</v>
      </c>
      <c r="I22" s="63">
        <f>SUM(Финансирование!K29,Финансирование!K47)</f>
        <v>0</v>
      </c>
      <c r="J22" s="63">
        <f>SUM(Финансирование!L29,Финансирование!L47)</f>
        <v>0</v>
      </c>
      <c r="K22" s="63">
        <f>SUM(Финансирование!M29,Финансирование!M47)</f>
        <v>0</v>
      </c>
      <c r="L22" s="63">
        <f>SUM(Финансирование!N29,Финансирование!N47)</f>
        <v>0</v>
      </c>
      <c r="M22" s="63">
        <f>SUM(Финансирование!O29,Финансирование!O47)</f>
        <v>0</v>
      </c>
      <c r="N22" s="352">
        <f t="shared" si="2"/>
        <v>-7581.2846946867585</v>
      </c>
    </row>
    <row r="23" spans="1:14" s="33" customFormat="1" x14ac:dyDescent="0.25">
      <c r="A23" s="29" t="s">
        <v>425</v>
      </c>
      <c r="B23" s="7"/>
      <c r="C23" s="5" t="s">
        <v>39</v>
      </c>
      <c r="D23" s="63">
        <f ca="1">IF(D2=1,0,OFFSET(Налоги!E24,0,-1))</f>
        <v>0</v>
      </c>
      <c r="E23" s="63">
        <f ca="1">IF(E2=1,0,OFFSET(Налоги!F24,0,-1))</f>
        <v>0</v>
      </c>
      <c r="F23" s="63">
        <f ca="1">IF(F2=1,0,OFFSET(Налоги!G24,0,-1))</f>
        <v>0</v>
      </c>
      <c r="G23" s="63">
        <f ca="1">IF(G2=1,0,OFFSET(Налоги!H24,0,-1))</f>
        <v>0</v>
      </c>
      <c r="H23" s="63">
        <f ca="1">IF(H2=1,0,OFFSET(Налоги!I24,0,-1))</f>
        <v>0</v>
      </c>
      <c r="I23" s="63">
        <f ca="1">IF(I2=1,0,OFFSET(Налоги!J24,0,-1))</f>
        <v>0</v>
      </c>
      <c r="J23" s="63">
        <f ca="1">IF(J2=1,0,OFFSET(Налоги!K24,0,-1))</f>
        <v>0</v>
      </c>
      <c r="K23" s="63">
        <f ca="1">IF(K2=1,0,OFFSET(Налоги!L24,0,-1))</f>
        <v>0</v>
      </c>
      <c r="L23" s="63">
        <f ca="1">IF(L2=1,0,OFFSET(Налоги!M24,0,-1))</f>
        <v>0</v>
      </c>
      <c r="M23" s="63">
        <f ca="1">IF(M2=1,0,OFFSET(Налоги!N24,0,-1))</f>
        <v>0</v>
      </c>
      <c r="N23" s="352">
        <f t="shared" ca="1" si="2"/>
        <v>0</v>
      </c>
    </row>
    <row r="24" spans="1:14" s="33" customFormat="1" x14ac:dyDescent="0.25">
      <c r="A24" s="29" t="s">
        <v>292</v>
      </c>
      <c r="B24" s="29"/>
      <c r="C24" s="260" t="s">
        <v>39</v>
      </c>
      <c r="D24" s="284">
        <f>-'Оборотный капитал'!G46*D4</f>
        <v>0</v>
      </c>
      <c r="E24" s="284">
        <f>-'Оборотный капитал'!H46*E4</f>
        <v>-38090.427142216438</v>
      </c>
      <c r="F24" s="284">
        <f>-'Оборотный капитал'!I46*F4</f>
        <v>-4821.4176791932332</v>
      </c>
      <c r="G24" s="284">
        <f>-'Оборотный капитал'!J46*G4</f>
        <v>-4889.0817717267782</v>
      </c>
      <c r="H24" s="284">
        <f>-'Оборотный капитал'!K46*H4</f>
        <v>-5129.8651712913997</v>
      </c>
      <c r="I24" s="284">
        <f>-'Оборотный капитал'!L46*I4</f>
        <v>-5463.8471144670984</v>
      </c>
      <c r="J24" s="284">
        <f>-'Оборотный капитал'!M46*J4</f>
        <v>-5877.3736193586883</v>
      </c>
      <c r="K24" s="284">
        <f>-'Оборотный капитал'!N46*K4</f>
        <v>-6189.6230314967106</v>
      </c>
      <c r="L24" s="284">
        <f>-'Оборотный капитал'!O46*L4</f>
        <v>-6593.0981331361254</v>
      </c>
      <c r="M24" s="284">
        <f>-'Оборотный капитал'!P46*M4</f>
        <v>-8353.6267996670213</v>
      </c>
      <c r="N24" s="353">
        <f t="shared" si="2"/>
        <v>-85408.360462553494</v>
      </c>
    </row>
    <row r="25" spans="1:14" s="33" customFormat="1" x14ac:dyDescent="0.25">
      <c r="A25" s="34" t="s">
        <v>293</v>
      </c>
      <c r="B25" s="34"/>
      <c r="C25" s="11" t="s">
        <v>39</v>
      </c>
      <c r="D25" s="64">
        <f ca="1">D9+D11</f>
        <v>0</v>
      </c>
      <c r="E25" s="64">
        <f t="shared" ref="E25:M25" ca="1" si="4">E9+E11</f>
        <v>43179.649246383575</v>
      </c>
      <c r="F25" s="64">
        <f t="shared" ca="1" si="4"/>
        <v>82576.660909679165</v>
      </c>
      <c r="G25" s="64">
        <f t="shared" ca="1" si="4"/>
        <v>93115.601349263219</v>
      </c>
      <c r="H25" s="64">
        <f ca="1">H9+H11</f>
        <v>105511.48197502954</v>
      </c>
      <c r="I25" s="64">
        <f t="shared" ca="1" si="4"/>
        <v>118639.21098411162</v>
      </c>
      <c r="J25" s="64">
        <f t="shared" ca="1" si="4"/>
        <v>131486.65252271504</v>
      </c>
      <c r="K25" s="64">
        <f t="shared" ca="1" si="4"/>
        <v>145458.88801536598</v>
      </c>
      <c r="L25" s="64">
        <f t="shared" ca="1" si="4"/>
        <v>160233.65034172405</v>
      </c>
      <c r="M25" s="64">
        <f t="shared" ca="1" si="4"/>
        <v>177676.65510408345</v>
      </c>
      <c r="N25" s="354">
        <f t="shared" ca="1" si="2"/>
        <v>1057878.4504483556</v>
      </c>
    </row>
    <row r="26" spans="1:14" s="33" customFormat="1" x14ac:dyDescent="0.25">
      <c r="A26" s="7"/>
      <c r="B26" s="7"/>
      <c r="C26" s="7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355"/>
    </row>
    <row r="27" spans="1:14" s="33" customFormat="1" x14ac:dyDescent="0.25">
      <c r="A27" s="254" t="s">
        <v>288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351"/>
    </row>
    <row r="28" spans="1:14" s="33" customFormat="1" x14ac:dyDescent="0.25">
      <c r="A28" s="3" t="s">
        <v>84</v>
      </c>
      <c r="B28" s="3"/>
      <c r="C28" s="15" t="s">
        <v>39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356">
        <f t="shared" ref="N28:N33" si="5">SUM(D28:M28)</f>
        <v>0</v>
      </c>
    </row>
    <row r="29" spans="1:14" s="33" customFormat="1" x14ac:dyDescent="0.25">
      <c r="A29" s="3" t="s">
        <v>85</v>
      </c>
      <c r="B29" s="3"/>
      <c r="C29" s="15" t="s">
        <v>39</v>
      </c>
      <c r="D29" s="66">
        <f>SUM(D30:D32)</f>
        <v>-71060.996019315062</v>
      </c>
      <c r="E29" s="66">
        <f t="shared" ref="E29:M29" si="6">SUM(E30:E32)</f>
        <v>-127346.45</v>
      </c>
      <c r="F29" s="66">
        <f t="shared" si="6"/>
        <v>-2431.1595000000002</v>
      </c>
      <c r="G29" s="66">
        <f t="shared" si="6"/>
        <v>0</v>
      </c>
      <c r="H29" s="66">
        <f t="shared" si="6"/>
        <v>0</v>
      </c>
      <c r="I29" s="66">
        <f t="shared" si="6"/>
        <v>0</v>
      </c>
      <c r="J29" s="66">
        <f t="shared" si="6"/>
        <v>0</v>
      </c>
      <c r="K29" s="66">
        <f t="shared" si="6"/>
        <v>0</v>
      </c>
      <c r="L29" s="66">
        <f t="shared" si="6"/>
        <v>0</v>
      </c>
      <c r="M29" s="66">
        <f t="shared" si="6"/>
        <v>0</v>
      </c>
      <c r="N29" s="356">
        <f t="shared" si="5"/>
        <v>-200838.60551931505</v>
      </c>
    </row>
    <row r="30" spans="1:14" s="33" customFormat="1" x14ac:dyDescent="0.25">
      <c r="A30" s="7" t="s">
        <v>344</v>
      </c>
      <c r="B30" s="7"/>
      <c r="C30" s="5" t="s">
        <v>39</v>
      </c>
      <c r="D30" s="67">
        <f>-SUM(Инвестиции!H8:H25)</f>
        <v>-66185</v>
      </c>
      <c r="E30" s="67">
        <f>-SUM(Инвестиции!I8:I25)</f>
        <v>-127346.45</v>
      </c>
      <c r="F30" s="67">
        <f>-SUM(Инвестиции!J8:J25)</f>
        <v>-2431.1595000000002</v>
      </c>
      <c r="G30" s="67">
        <f>-SUM(Инвестиции!K8:K25)</f>
        <v>0</v>
      </c>
      <c r="H30" s="67">
        <f>-SUM(Инвестиции!L8:L25)</f>
        <v>0</v>
      </c>
      <c r="I30" s="67">
        <f>-SUM(Инвестиции!M8:M25)</f>
        <v>0</v>
      </c>
      <c r="J30" s="67">
        <f>-SUM(Инвестиции!N8:N25)</f>
        <v>0</v>
      </c>
      <c r="K30" s="67">
        <f>-SUM(Инвестиции!O8:O25)</f>
        <v>0</v>
      </c>
      <c r="L30" s="67">
        <f>-SUM(Инвестиции!P8:P25)</f>
        <v>0</v>
      </c>
      <c r="M30" s="67">
        <f>-SUM(Инвестиции!Q8:Q25)</f>
        <v>0</v>
      </c>
      <c r="N30" s="356">
        <f t="shared" si="5"/>
        <v>-195962.60950000002</v>
      </c>
    </row>
    <row r="31" spans="1:14" s="33" customFormat="1" x14ac:dyDescent="0.25">
      <c r="A31" s="30" t="s">
        <v>351</v>
      </c>
      <c r="B31" s="3"/>
      <c r="C31" s="210" t="s">
        <v>39</v>
      </c>
      <c r="D31" s="67">
        <f>SUM(Финансирование!F28,Финансирование!F46)</f>
        <v>-1500</v>
      </c>
      <c r="E31" s="67">
        <f>SUM(Финансирование!G28,Финансирование!G46)</f>
        <v>0</v>
      </c>
      <c r="F31" s="67">
        <f>SUM(Финансирование!H28,Финансирование!H46)</f>
        <v>0</v>
      </c>
      <c r="G31" s="67">
        <f>SUM(Финансирование!I28,Финансирование!I46)</f>
        <v>0</v>
      </c>
      <c r="H31" s="67">
        <f>SUM(Финансирование!J28,Финансирование!J46)</f>
        <v>0</v>
      </c>
      <c r="I31" s="67">
        <f>SUM(Финансирование!K28,Финансирование!K46)</f>
        <v>0</v>
      </c>
      <c r="J31" s="67">
        <f>SUM(Финансирование!L28,Финансирование!L46)</f>
        <v>0</v>
      </c>
      <c r="K31" s="67">
        <f>SUM(Финансирование!M28,Финансирование!M46)</f>
        <v>0</v>
      </c>
      <c r="L31" s="67">
        <f>SUM(Финансирование!N28,Финансирование!N46)</f>
        <v>0</v>
      </c>
      <c r="M31" s="67">
        <f>SUM(Финансирование!O28,Финансирование!O46)</f>
        <v>0</v>
      </c>
      <c r="N31" s="356">
        <f t="shared" si="5"/>
        <v>-1500</v>
      </c>
    </row>
    <row r="32" spans="1:14" s="33" customFormat="1" x14ac:dyDescent="0.25">
      <c r="A32" s="33" t="s">
        <v>345</v>
      </c>
      <c r="C32" s="210" t="s">
        <v>39</v>
      </c>
      <c r="D32" s="67">
        <f>-Инвестиции!H27</f>
        <v>-3375.9960193150691</v>
      </c>
      <c r="E32" s="67">
        <f>-Инвестиции!I27</f>
        <v>0</v>
      </c>
      <c r="F32" s="67">
        <f>-Инвестиции!J27</f>
        <v>0</v>
      </c>
      <c r="G32" s="67">
        <f>-Инвестиции!K27</f>
        <v>0</v>
      </c>
      <c r="H32" s="67">
        <f>-Инвестиции!L27</f>
        <v>0</v>
      </c>
      <c r="I32" s="67">
        <f>-Инвестиции!M27</f>
        <v>0</v>
      </c>
      <c r="J32" s="67">
        <f>-Инвестиции!N27</f>
        <v>0</v>
      </c>
      <c r="K32" s="67">
        <f>-Инвестиции!O27</f>
        <v>0</v>
      </c>
      <c r="L32" s="67">
        <f>-Инвестиции!P27</f>
        <v>0</v>
      </c>
      <c r="M32" s="67">
        <f>-Инвестиции!Q27</f>
        <v>0</v>
      </c>
      <c r="N32" s="356">
        <f t="shared" si="5"/>
        <v>-3375.9960193150691</v>
      </c>
    </row>
    <row r="33" spans="1:14" s="33" customFormat="1" x14ac:dyDescent="0.25">
      <c r="A33" s="34" t="s">
        <v>294</v>
      </c>
      <c r="B33" s="34"/>
      <c r="C33" s="11" t="s">
        <v>39</v>
      </c>
      <c r="D33" s="68">
        <f>D28+D29</f>
        <v>-71060.996019315062</v>
      </c>
      <c r="E33" s="68">
        <f t="shared" ref="E33:M33" si="7">E28+E29</f>
        <v>-127346.45</v>
      </c>
      <c r="F33" s="68">
        <f t="shared" si="7"/>
        <v>-2431.1595000000002</v>
      </c>
      <c r="G33" s="68">
        <f t="shared" si="7"/>
        <v>0</v>
      </c>
      <c r="H33" s="68">
        <f t="shared" si="7"/>
        <v>0</v>
      </c>
      <c r="I33" s="68">
        <f t="shared" si="7"/>
        <v>0</v>
      </c>
      <c r="J33" s="68">
        <f t="shared" si="7"/>
        <v>0</v>
      </c>
      <c r="K33" s="68">
        <f t="shared" si="7"/>
        <v>0</v>
      </c>
      <c r="L33" s="68">
        <f t="shared" si="7"/>
        <v>0</v>
      </c>
      <c r="M33" s="68">
        <f t="shared" si="7"/>
        <v>0</v>
      </c>
      <c r="N33" s="357">
        <f t="shared" si="5"/>
        <v>-200838.60551931505</v>
      </c>
    </row>
    <row r="34" spans="1:14" s="33" customFormat="1" x14ac:dyDescent="0.25">
      <c r="A34" s="7"/>
      <c r="B34" s="7"/>
      <c r="C34" s="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358"/>
    </row>
    <row r="35" spans="1:14" s="33" customFormat="1" x14ac:dyDescent="0.25">
      <c r="A35" s="254" t="s">
        <v>289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351"/>
    </row>
    <row r="36" spans="1:14" s="33" customFormat="1" x14ac:dyDescent="0.25">
      <c r="A36" s="3" t="s">
        <v>86</v>
      </c>
      <c r="B36" s="3"/>
      <c r="C36" s="15" t="s">
        <v>39</v>
      </c>
      <c r="D36" s="62">
        <f t="shared" ref="D36:M36" si="8">SUM(D37:D39)</f>
        <v>61000</v>
      </c>
      <c r="E36" s="62">
        <f t="shared" si="8"/>
        <v>110000</v>
      </c>
      <c r="F36" s="62">
        <f t="shared" si="8"/>
        <v>2000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352">
        <f t="shared" ref="N36:N42" si="9">SUM(D36:M36)</f>
        <v>173000</v>
      </c>
    </row>
    <row r="37" spans="1:14" s="33" customFormat="1" x14ac:dyDescent="0.25">
      <c r="A37" s="7" t="s">
        <v>300</v>
      </c>
      <c r="B37" s="7"/>
      <c r="C37" s="5" t="s">
        <v>39</v>
      </c>
      <c r="D37" s="35">
        <f>Финансирование!F6</f>
        <v>31000</v>
      </c>
      <c r="E37" s="35">
        <f>Финансирование!G6</f>
        <v>90000</v>
      </c>
      <c r="F37" s="35">
        <f>Финансирование!H6</f>
        <v>2000</v>
      </c>
      <c r="G37" s="35">
        <f>Финансирование!I6</f>
        <v>0</v>
      </c>
      <c r="H37" s="35">
        <f>Финансирование!J6</f>
        <v>0</v>
      </c>
      <c r="I37" s="35">
        <f>Финансирование!K6</f>
        <v>0</v>
      </c>
      <c r="J37" s="35">
        <f>Финансирование!L6</f>
        <v>0</v>
      </c>
      <c r="K37" s="35">
        <f>Финансирование!M6</f>
        <v>0</v>
      </c>
      <c r="L37" s="35">
        <f>Финансирование!N6</f>
        <v>0</v>
      </c>
      <c r="M37" s="35">
        <f>Финансирование!O6</f>
        <v>0</v>
      </c>
      <c r="N37" s="352">
        <f t="shared" si="9"/>
        <v>123000</v>
      </c>
    </row>
    <row r="38" spans="1:14" s="33" customFormat="1" x14ac:dyDescent="0.25">
      <c r="A38" s="7" t="s">
        <v>205</v>
      </c>
      <c r="B38" s="7"/>
      <c r="C38" s="210" t="s">
        <v>39</v>
      </c>
      <c r="D38" s="35">
        <f>Финансирование!F7</f>
        <v>0</v>
      </c>
      <c r="E38" s="35">
        <f>Финансирование!G7</f>
        <v>0</v>
      </c>
      <c r="F38" s="35">
        <f>Финансирование!H7</f>
        <v>0</v>
      </c>
      <c r="G38" s="35">
        <f>Финансирование!I7</f>
        <v>0</v>
      </c>
      <c r="H38" s="35">
        <f>Финансирование!J7</f>
        <v>0</v>
      </c>
      <c r="I38" s="35">
        <f>Финансирование!K7</f>
        <v>0</v>
      </c>
      <c r="J38" s="35">
        <f>Финансирование!L7</f>
        <v>0</v>
      </c>
      <c r="K38" s="35">
        <f>Финансирование!M7</f>
        <v>0</v>
      </c>
      <c r="L38" s="35">
        <f>Финансирование!N7</f>
        <v>0</v>
      </c>
      <c r="M38" s="35">
        <f>Финансирование!O7</f>
        <v>0</v>
      </c>
      <c r="N38" s="352">
        <f t="shared" si="9"/>
        <v>0</v>
      </c>
    </row>
    <row r="39" spans="1:14" s="33" customFormat="1" x14ac:dyDescent="0.25">
      <c r="A39" s="7" t="s">
        <v>230</v>
      </c>
      <c r="B39" s="7"/>
      <c r="C39" s="210" t="s">
        <v>39</v>
      </c>
      <c r="D39" s="35">
        <f>Финансирование!F8</f>
        <v>30000</v>
      </c>
      <c r="E39" s="35">
        <f>Финансирование!G8</f>
        <v>20000</v>
      </c>
      <c r="F39" s="35">
        <f>Финансирование!H8</f>
        <v>0</v>
      </c>
      <c r="G39" s="35">
        <f>Финансирование!I8</f>
        <v>0</v>
      </c>
      <c r="H39" s="35">
        <f>Финансирование!J8</f>
        <v>0</v>
      </c>
      <c r="I39" s="35">
        <f>Финансирование!K8</f>
        <v>0</v>
      </c>
      <c r="J39" s="35">
        <f>Финансирование!L8</f>
        <v>0</v>
      </c>
      <c r="K39" s="35">
        <f>Финансирование!M8</f>
        <v>0</v>
      </c>
      <c r="L39" s="35">
        <f>Финансирование!N8</f>
        <v>0</v>
      </c>
      <c r="M39" s="35">
        <f>Финансирование!O8</f>
        <v>0</v>
      </c>
      <c r="N39" s="352">
        <f t="shared" si="9"/>
        <v>50000</v>
      </c>
    </row>
    <row r="40" spans="1:14" s="33" customFormat="1" x14ac:dyDescent="0.25">
      <c r="A40" s="3" t="s">
        <v>85</v>
      </c>
      <c r="B40" s="3"/>
      <c r="C40" s="15" t="s">
        <v>39</v>
      </c>
      <c r="D40" s="62">
        <f t="shared" ref="D40:M40" si="10">SUM(D41:D41)</f>
        <v>0</v>
      </c>
      <c r="E40" s="62">
        <f t="shared" si="10"/>
        <v>0</v>
      </c>
      <c r="F40" s="62">
        <f t="shared" si="10"/>
        <v>-15860.428231562244</v>
      </c>
      <c r="G40" s="62">
        <f t="shared" si="10"/>
        <v>-16653.449643140357</v>
      </c>
      <c r="H40" s="62">
        <f t="shared" si="10"/>
        <v>-17486.122125297374</v>
      </c>
      <c r="I40" s="62">
        <f t="shared" si="10"/>
        <v>0</v>
      </c>
      <c r="J40" s="62">
        <f t="shared" si="10"/>
        <v>0</v>
      </c>
      <c r="K40" s="62">
        <f t="shared" si="10"/>
        <v>0</v>
      </c>
      <c r="L40" s="62">
        <f t="shared" si="10"/>
        <v>0</v>
      </c>
      <c r="M40" s="62">
        <f t="shared" si="10"/>
        <v>0</v>
      </c>
      <c r="N40" s="352">
        <f t="shared" si="9"/>
        <v>-49999.999999999971</v>
      </c>
    </row>
    <row r="41" spans="1:14" s="33" customFormat="1" x14ac:dyDescent="0.25">
      <c r="A41" s="7" t="s">
        <v>87</v>
      </c>
      <c r="B41" s="7"/>
      <c r="C41" s="5" t="s">
        <v>39</v>
      </c>
      <c r="D41" s="70">
        <f>SUM(Финансирование!F24,Финансирование!F42)</f>
        <v>0</v>
      </c>
      <c r="E41" s="70">
        <f>SUM(Финансирование!G24,Финансирование!G42)</f>
        <v>0</v>
      </c>
      <c r="F41" s="70">
        <f>SUM(Финансирование!H24,Финансирование!H42)</f>
        <v>-15860.428231562244</v>
      </c>
      <c r="G41" s="70">
        <f>SUM(Финансирование!I24,Финансирование!I42)</f>
        <v>-16653.449643140357</v>
      </c>
      <c r="H41" s="70">
        <f>SUM(Финансирование!J24,Финансирование!J42)</f>
        <v>-17486.122125297374</v>
      </c>
      <c r="I41" s="70">
        <f>SUM(Финансирование!K24,Финансирование!K42)</f>
        <v>0</v>
      </c>
      <c r="J41" s="70">
        <f>SUM(Финансирование!L24,Финансирование!L42)</f>
        <v>0</v>
      </c>
      <c r="K41" s="70">
        <f>SUM(Финансирование!M24,Финансирование!M42)</f>
        <v>0</v>
      </c>
      <c r="L41" s="70">
        <f>SUM(Финансирование!N24,Финансирование!N42)</f>
        <v>0</v>
      </c>
      <c r="M41" s="70">
        <f>SUM(Финансирование!O24,Финансирование!O42)</f>
        <v>0</v>
      </c>
      <c r="N41" s="352">
        <f t="shared" si="9"/>
        <v>-49999.999999999971</v>
      </c>
    </row>
    <row r="42" spans="1:14" s="33" customFormat="1" x14ac:dyDescent="0.25">
      <c r="A42" s="34" t="s">
        <v>295</v>
      </c>
      <c r="B42" s="34"/>
      <c r="C42" s="11" t="s">
        <v>39</v>
      </c>
      <c r="D42" s="64">
        <f t="shared" ref="D42:M42" si="11">D36+D40</f>
        <v>61000</v>
      </c>
      <c r="E42" s="64">
        <f t="shared" si="11"/>
        <v>110000</v>
      </c>
      <c r="F42" s="64">
        <f t="shared" si="11"/>
        <v>-13860.428231562244</v>
      </c>
      <c r="G42" s="64">
        <f t="shared" si="11"/>
        <v>-16653.449643140357</v>
      </c>
      <c r="H42" s="64">
        <f t="shared" si="11"/>
        <v>-17486.122125297374</v>
      </c>
      <c r="I42" s="64">
        <f t="shared" si="11"/>
        <v>0</v>
      </c>
      <c r="J42" s="64">
        <f t="shared" si="11"/>
        <v>0</v>
      </c>
      <c r="K42" s="64">
        <f t="shared" si="11"/>
        <v>0</v>
      </c>
      <c r="L42" s="64">
        <f t="shared" si="11"/>
        <v>0</v>
      </c>
      <c r="M42" s="64">
        <f t="shared" si="11"/>
        <v>0</v>
      </c>
      <c r="N42" s="354">
        <f t="shared" si="9"/>
        <v>123000</v>
      </c>
    </row>
    <row r="43" spans="1:14" s="33" customFormat="1" x14ac:dyDescent="0.25">
      <c r="A43" s="3"/>
      <c r="B43" s="3"/>
      <c r="C43" s="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</row>
    <row r="44" spans="1:14" x14ac:dyDescent="0.25">
      <c r="A44" s="30" t="s">
        <v>88</v>
      </c>
      <c r="C44" s="5" t="s">
        <v>39</v>
      </c>
      <c r="D44" s="35">
        <f t="shared" ref="D44:M44" ca="1" si="12">SUM(D25,D33,D42)</f>
        <v>-10060.996019315062</v>
      </c>
      <c r="E44" s="35">
        <f t="shared" ca="1" si="12"/>
        <v>25833.199246383578</v>
      </c>
      <c r="F44" s="35">
        <f t="shared" ca="1" si="12"/>
        <v>66285.073178116931</v>
      </c>
      <c r="G44" s="35">
        <f t="shared" ca="1" si="12"/>
        <v>76462.151706122866</v>
      </c>
      <c r="H44" s="35">
        <f t="shared" ca="1" si="12"/>
        <v>88025.359849732165</v>
      </c>
      <c r="I44" s="35">
        <f t="shared" ca="1" si="12"/>
        <v>118639.21098411162</v>
      </c>
      <c r="J44" s="35">
        <f t="shared" ca="1" si="12"/>
        <v>131486.65252271504</v>
      </c>
      <c r="K44" s="35">
        <f t="shared" ca="1" si="12"/>
        <v>145458.88801536598</v>
      </c>
      <c r="L44" s="35">
        <f t="shared" ca="1" si="12"/>
        <v>160233.65034172405</v>
      </c>
      <c r="M44" s="35">
        <f t="shared" ca="1" si="12"/>
        <v>177676.65510408345</v>
      </c>
      <c r="N44" s="355"/>
    </row>
    <row r="45" spans="1:14" x14ac:dyDescent="0.25">
      <c r="A45" s="30" t="s">
        <v>89</v>
      </c>
      <c r="C45" s="5" t="s">
        <v>39</v>
      </c>
      <c r="D45" s="35">
        <f>IF(D2=1,0,C46)</f>
        <v>0</v>
      </c>
      <c r="E45" s="35">
        <f ca="1">IF(E2=1,0,D46)</f>
        <v>-10060.996019315062</v>
      </c>
      <c r="F45" s="35">
        <f ca="1">IF(F2=1,0,E46)</f>
        <v>15772.203227068516</v>
      </c>
      <c r="G45" s="35">
        <f t="shared" ref="G45:M45" ca="1" si="13">IF(G2=1,0,F46)</f>
        <v>82057.276405185446</v>
      </c>
      <c r="H45" s="35">
        <f t="shared" ca="1" si="13"/>
        <v>158519.42811130831</v>
      </c>
      <c r="I45" s="35">
        <f t="shared" ca="1" si="13"/>
        <v>246544.78796104048</v>
      </c>
      <c r="J45" s="35">
        <f t="shared" ca="1" si="13"/>
        <v>365183.9989451521</v>
      </c>
      <c r="K45" s="35">
        <f t="shared" ca="1" si="13"/>
        <v>496670.65146786714</v>
      </c>
      <c r="L45" s="35">
        <f t="shared" ca="1" si="13"/>
        <v>642129.53948323312</v>
      </c>
      <c r="M45" s="35">
        <f t="shared" ca="1" si="13"/>
        <v>802363.18982495717</v>
      </c>
      <c r="N45" s="355"/>
    </row>
    <row r="46" spans="1:14" x14ac:dyDescent="0.25">
      <c r="A46" s="30" t="s">
        <v>90</v>
      </c>
      <c r="C46" s="5" t="s">
        <v>39</v>
      </c>
      <c r="D46" s="35">
        <f ca="1">SUM(D44:D45)</f>
        <v>-10060.996019315062</v>
      </c>
      <c r="E46" s="35">
        <f t="shared" ref="E46:M46" ca="1" si="14">SUM(E44:E45)</f>
        <v>15772.203227068516</v>
      </c>
      <c r="F46" s="35">
        <f ca="1">SUM(F44:F45)</f>
        <v>82057.276405185446</v>
      </c>
      <c r="G46" s="35">
        <f t="shared" ca="1" si="14"/>
        <v>158519.42811130831</v>
      </c>
      <c r="H46" s="35">
        <f t="shared" ca="1" si="14"/>
        <v>246544.78796104048</v>
      </c>
      <c r="I46" s="35">
        <f t="shared" ca="1" si="14"/>
        <v>365183.9989451521</v>
      </c>
      <c r="J46" s="35">
        <f t="shared" ca="1" si="14"/>
        <v>496670.65146786714</v>
      </c>
      <c r="K46" s="35">
        <f t="shared" ca="1" si="14"/>
        <v>642129.53948323312</v>
      </c>
      <c r="L46" s="35">
        <f t="shared" ca="1" si="14"/>
        <v>802363.18982495717</v>
      </c>
      <c r="M46" s="35">
        <f t="shared" ca="1" si="14"/>
        <v>980039.84492904064</v>
      </c>
      <c r="N46" s="355"/>
    </row>
    <row r="47" spans="1:14" x14ac:dyDescent="0.25">
      <c r="D47" s="471">
        <f>IF(D45&lt;0,1,0)</f>
        <v>0</v>
      </c>
      <c r="E47" s="471">
        <f t="shared" ref="E47:M47" ca="1" si="15">IF(E45&lt;0,1,0)</f>
        <v>1</v>
      </c>
      <c r="F47" s="471">
        <f t="shared" ca="1" si="15"/>
        <v>0</v>
      </c>
      <c r="G47" s="471">
        <f t="shared" ca="1" si="15"/>
        <v>0</v>
      </c>
      <c r="H47" s="471">
        <f t="shared" ca="1" si="15"/>
        <v>0</v>
      </c>
      <c r="I47" s="471">
        <f t="shared" ca="1" si="15"/>
        <v>0</v>
      </c>
      <c r="J47" s="471">
        <f t="shared" ca="1" si="15"/>
        <v>0</v>
      </c>
      <c r="K47" s="471">
        <f t="shared" ca="1" si="15"/>
        <v>0</v>
      </c>
      <c r="L47" s="471">
        <f t="shared" ca="1" si="15"/>
        <v>0</v>
      </c>
      <c r="M47" s="471">
        <f t="shared" ca="1" si="15"/>
        <v>0</v>
      </c>
      <c r="N47" s="355"/>
    </row>
  </sheetData>
  <conditionalFormatting sqref="D3:M3">
    <cfRule type="cellIs" dxfId="2" priority="3" operator="equal">
      <formula>1</formula>
    </cfRule>
  </conditionalFormatting>
  <conditionalFormatting sqref="D4:M4">
    <cfRule type="cellIs" dxfId="1" priority="2" operator="equal">
      <formula>1</formula>
    </cfRule>
  </conditionalFormatting>
  <conditionalFormatting sqref="D45:M4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3"/>
  <sheetViews>
    <sheetView showGridLines="0" zoomScale="85" zoomScaleNormal="85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H35" sqref="H35"/>
    </sheetView>
  </sheetViews>
  <sheetFormatPr defaultColWidth="8.85546875" defaultRowHeight="15" x14ac:dyDescent="0.25"/>
  <cols>
    <col min="1" max="1" width="65" style="7" customWidth="1"/>
    <col min="2" max="2" width="2" style="7" customWidth="1"/>
    <col min="3" max="3" width="8.85546875" style="7" customWidth="1"/>
    <col min="4" max="4" width="12.7109375" style="7" bestFit="1" customWidth="1"/>
    <col min="5" max="5" width="11.42578125" style="7" customWidth="1"/>
    <col min="6" max="13" width="10.85546875" style="7" bestFit="1" customWidth="1"/>
    <col min="14" max="14" width="10" customWidth="1"/>
    <col min="15" max="15" width="9.7109375" customWidth="1"/>
  </cols>
  <sheetData>
    <row r="1" spans="1:14" x14ac:dyDescent="0.25">
      <c r="A1" s="15"/>
      <c r="B1" s="15"/>
      <c r="C1" s="15" t="s">
        <v>52</v>
      </c>
      <c r="D1" s="15">
        <f>Предпосылки!G24</f>
        <v>2022</v>
      </c>
      <c r="E1" s="15">
        <f>Предпосылки!H24</f>
        <v>2023</v>
      </c>
      <c r="F1" s="15">
        <f>Предпосылки!I24</f>
        <v>2024</v>
      </c>
      <c r="G1" s="15">
        <f>Предпосылки!J24</f>
        <v>2025</v>
      </c>
      <c r="H1" s="15">
        <f>Предпосылки!K24</f>
        <v>2026</v>
      </c>
      <c r="I1" s="15">
        <f>Предпосылки!L24</f>
        <v>2027</v>
      </c>
      <c r="J1" s="15">
        <f>Предпосылки!M24</f>
        <v>2028</v>
      </c>
      <c r="K1" s="15">
        <f>Предпосылки!N24</f>
        <v>2029</v>
      </c>
      <c r="L1" s="15">
        <f>Предпосылки!O24</f>
        <v>2030</v>
      </c>
      <c r="M1" s="15">
        <f>Предпосылки!P24</f>
        <v>2031</v>
      </c>
      <c r="N1" s="343" t="s">
        <v>6</v>
      </c>
    </row>
    <row r="2" spans="1:14" x14ac:dyDescent="0.25">
      <c r="A2" s="15"/>
      <c r="B2" s="15"/>
      <c r="C2" s="15"/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</row>
    <row r="3" spans="1:14" x14ac:dyDescent="0.25">
      <c r="A3" s="189" t="s">
        <v>298</v>
      </c>
      <c r="B3" s="2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x14ac:dyDescent="0.25">
      <c r="A4" s="15"/>
      <c r="B4" s="15"/>
      <c r="C4" s="15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x14ac:dyDescent="0.25">
      <c r="A5" s="254" t="s">
        <v>352</v>
      </c>
      <c r="C5" s="254"/>
      <c r="D5" s="318"/>
      <c r="E5" s="318"/>
      <c r="F5" s="318"/>
      <c r="G5" s="318"/>
      <c r="H5" s="318"/>
      <c r="I5" s="318"/>
      <c r="J5" s="318"/>
      <c r="K5" s="318"/>
      <c r="L5" s="318"/>
      <c r="M5" s="318"/>
    </row>
    <row r="6" spans="1:14" x14ac:dyDescent="0.25">
      <c r="A6" s="20" t="s">
        <v>354</v>
      </c>
      <c r="C6" s="210" t="s">
        <v>39</v>
      </c>
      <c r="D6" s="321">
        <f ca="1">БДДС!D25</f>
        <v>0</v>
      </c>
      <c r="E6" s="321">
        <f ca="1">БДДС!E25</f>
        <v>43179.649246383575</v>
      </c>
      <c r="F6" s="321">
        <f ca="1">БДДС!F25</f>
        <v>82576.660909679165</v>
      </c>
      <c r="G6" s="321">
        <f ca="1">БДДС!G25</f>
        <v>93115.601349263219</v>
      </c>
      <c r="H6" s="321">
        <f ca="1">БДДС!H25</f>
        <v>105511.48197502954</v>
      </c>
      <c r="I6" s="321">
        <f ca="1">БДДС!I25</f>
        <v>118639.21098411162</v>
      </c>
      <c r="J6" s="321">
        <f ca="1">БДДС!J25</f>
        <v>131486.65252271504</v>
      </c>
      <c r="K6" s="321">
        <f ca="1">БДДС!K25</f>
        <v>145458.88801536598</v>
      </c>
      <c r="L6" s="321">
        <f ca="1">БДДС!L25</f>
        <v>160233.65034172405</v>
      </c>
      <c r="M6" s="321">
        <f ca="1">БДДС!M25</f>
        <v>177676.65510408345</v>
      </c>
      <c r="N6" s="270">
        <f ca="1">SUM(D6:M6)</f>
        <v>1057878.4504483556</v>
      </c>
    </row>
    <row r="7" spans="1:14" x14ac:dyDescent="0.25">
      <c r="A7" s="30" t="s">
        <v>353</v>
      </c>
      <c r="C7" s="6" t="s">
        <v>39</v>
      </c>
      <c r="D7" s="10">
        <f>БДДС!D33</f>
        <v>-71060.996019315062</v>
      </c>
      <c r="E7" s="10">
        <f>БДДС!E33</f>
        <v>-127346.45</v>
      </c>
      <c r="F7" s="10">
        <f>БДДС!F33</f>
        <v>-2431.1595000000002</v>
      </c>
      <c r="G7" s="10">
        <f>БДДС!G33</f>
        <v>0</v>
      </c>
      <c r="H7" s="10">
        <f>БДДС!H33</f>
        <v>0</v>
      </c>
      <c r="I7" s="10">
        <f>БДДС!I33</f>
        <v>0</v>
      </c>
      <c r="J7" s="10">
        <f>БДДС!J33</f>
        <v>0</v>
      </c>
      <c r="K7" s="10">
        <f>БДДС!K33</f>
        <v>0</v>
      </c>
      <c r="L7" s="10">
        <f>БДДС!L33</f>
        <v>0</v>
      </c>
      <c r="M7" s="10">
        <f>БДДС!M33</f>
        <v>0</v>
      </c>
      <c r="N7" s="270">
        <f>SUM(D7:M7)</f>
        <v>-200838.60551931505</v>
      </c>
    </row>
    <row r="8" spans="1:14" x14ac:dyDescent="0.25">
      <c r="A8" s="30" t="s">
        <v>372</v>
      </c>
      <c r="C8" s="6" t="s">
        <v>39</v>
      </c>
      <c r="D8" s="322">
        <f>-БДДС!D22*(1-Предпосылки!G377)</f>
        <v>0</v>
      </c>
      <c r="E8" s="322">
        <f>-БДДС!E22*(1-Предпосылки!H377)</f>
        <v>2000</v>
      </c>
      <c r="F8" s="322">
        <f>-БДДС!F22*(1-Предпосылки!I377)</f>
        <v>2000</v>
      </c>
      <c r="G8" s="322">
        <f>-БДДС!G22*(1-Предпосылки!J377)</f>
        <v>1365.5828707375106</v>
      </c>
      <c r="H8" s="322">
        <f>-БДДС!H22*(1-Предпосылки!K377)</f>
        <v>699.44488501189619</v>
      </c>
      <c r="I8" s="322">
        <f>-БДДС!I22*(1-Предпосылки!L377)</f>
        <v>0</v>
      </c>
      <c r="J8" s="322">
        <f>-БДДС!J22*(1-Предпосылки!M377)</f>
        <v>0</v>
      </c>
      <c r="K8" s="322">
        <f>-БДДС!K22*(1-Предпосылки!N377)</f>
        <v>0</v>
      </c>
      <c r="L8" s="322">
        <f>-БДДС!L22*(1-Предпосылки!O377)</f>
        <v>0</v>
      </c>
      <c r="M8" s="322">
        <f>-БДДС!M22*(1-Предпосылки!P377)</f>
        <v>0</v>
      </c>
      <c r="N8" s="339">
        <f>SUM(D8:M8)</f>
        <v>6065.0277557494064</v>
      </c>
    </row>
    <row r="9" spans="1:14" x14ac:dyDescent="0.25">
      <c r="A9" s="34" t="s">
        <v>91</v>
      </c>
      <c r="B9" s="21"/>
      <c r="C9" s="288" t="s">
        <v>39</v>
      </c>
      <c r="D9" s="13">
        <f ca="1">SUM(D6:D8)</f>
        <v>-71060.996019315062</v>
      </c>
      <c r="E9" s="13">
        <f t="shared" ref="E9:M9" ca="1" si="0">SUM(E6:E8)</f>
        <v>-82166.800753616422</v>
      </c>
      <c r="F9" s="13">
        <f t="shared" ca="1" si="0"/>
        <v>82145.501409679171</v>
      </c>
      <c r="G9" s="13">
        <f t="shared" ca="1" si="0"/>
        <v>94481.184220000723</v>
      </c>
      <c r="H9" s="13">
        <f t="shared" ca="1" si="0"/>
        <v>106210.92686004144</v>
      </c>
      <c r="I9" s="13">
        <f t="shared" ca="1" si="0"/>
        <v>118639.21098411162</v>
      </c>
      <c r="J9" s="13">
        <f t="shared" ca="1" si="0"/>
        <v>131486.65252271504</v>
      </c>
      <c r="K9" s="13">
        <f t="shared" ca="1" si="0"/>
        <v>145458.88801536598</v>
      </c>
      <c r="L9" s="13">
        <f t="shared" ca="1" si="0"/>
        <v>160233.65034172405</v>
      </c>
      <c r="M9" s="13">
        <f t="shared" ca="1" si="0"/>
        <v>177676.65510408345</v>
      </c>
      <c r="N9" s="340">
        <f ca="1">SUM(D9:M9)</f>
        <v>863104.87268479005</v>
      </c>
    </row>
    <row r="10" spans="1:14" x14ac:dyDescent="0.25">
      <c r="A10" s="3"/>
      <c r="D10" s="320"/>
      <c r="E10" s="320"/>
      <c r="F10" s="320"/>
      <c r="G10" s="320"/>
      <c r="H10" s="320"/>
      <c r="I10" s="320"/>
      <c r="J10" s="320"/>
      <c r="K10" s="320"/>
      <c r="L10" s="320"/>
      <c r="M10" s="320"/>
    </row>
    <row r="11" spans="1:14" x14ac:dyDescent="0.25">
      <c r="A11" s="254" t="s">
        <v>296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4" x14ac:dyDescent="0.25">
      <c r="A12" s="30" t="s">
        <v>378</v>
      </c>
      <c r="C12" s="52" t="s">
        <v>14</v>
      </c>
      <c r="D12" s="74">
        <f>IF(Предпосылки!B390=1,Предпосылки!E388,Предпосылки!E395)</f>
        <v>0.16058699999999998</v>
      </c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4" x14ac:dyDescent="0.25">
      <c r="A13" s="30" t="s">
        <v>105</v>
      </c>
      <c r="C13" s="52" t="s">
        <v>14</v>
      </c>
      <c r="D13" s="76">
        <f>Предпосылки!E398</f>
        <v>0.05</v>
      </c>
      <c r="E13" s="320"/>
      <c r="F13" s="320"/>
      <c r="G13" s="320"/>
      <c r="H13" s="320"/>
      <c r="I13" s="320"/>
      <c r="J13" s="320"/>
      <c r="K13" s="320"/>
      <c r="L13" s="320"/>
      <c r="M13" s="320"/>
    </row>
    <row r="14" spans="1:14" x14ac:dyDescent="0.25">
      <c r="A14" s="30" t="s">
        <v>59</v>
      </c>
      <c r="C14" s="52" t="s">
        <v>14</v>
      </c>
      <c r="D14" s="234">
        <f>100%-D15</f>
        <v>0.71098265895953761</v>
      </c>
      <c r="E14" s="320"/>
      <c r="F14" s="320"/>
      <c r="G14" s="320"/>
      <c r="H14" s="320"/>
      <c r="I14" s="320"/>
      <c r="J14" s="320"/>
      <c r="K14" s="320"/>
      <c r="L14" s="320"/>
      <c r="M14" s="320"/>
    </row>
    <row r="15" spans="1:14" x14ac:dyDescent="0.25">
      <c r="A15" s="30" t="s">
        <v>60</v>
      </c>
      <c r="B15" s="44"/>
      <c r="C15" s="52" t="s">
        <v>14</v>
      </c>
      <c r="D15" s="77">
        <f>IFERROR(SUM(Финансирование!P7:P8)/Финансирование!P9,0)</f>
        <v>0.28901734104046245</v>
      </c>
      <c r="E15" s="320"/>
      <c r="F15" s="320"/>
      <c r="G15" s="320"/>
      <c r="H15" s="320"/>
      <c r="I15" s="320"/>
      <c r="J15" s="320"/>
      <c r="K15" s="320"/>
      <c r="L15" s="320"/>
      <c r="M15" s="320"/>
    </row>
    <row r="16" spans="1:14" x14ac:dyDescent="0.25">
      <c r="A16" s="78" t="s">
        <v>106</v>
      </c>
      <c r="C16" s="79" t="s">
        <v>14</v>
      </c>
      <c r="D16" s="328">
        <f>IFERROR(IF(Предпосылки!$C$372="Общий",$D$12*$D$14+$D$13*$D$15*(1-AVERAGE(Предпосылки!$G$377:$P$377)),IF(Предпосылки!C372="УСН, доходы-расходы",$D$12*$D$14+$D$13*$D$15*(1-AVERAGE(Предпосылки!G381:P381)),D12*D14+D13*D15)),0)</f>
        <v>0.12862543930635836</v>
      </c>
      <c r="E16" s="320"/>
      <c r="F16" s="320"/>
      <c r="G16" s="320"/>
      <c r="H16" s="320"/>
      <c r="I16" s="320"/>
      <c r="J16" s="320"/>
      <c r="K16" s="320"/>
      <c r="L16" s="320"/>
      <c r="M16" s="320"/>
    </row>
    <row r="17" spans="1:16" x14ac:dyDescent="0.25">
      <c r="A17" s="367"/>
      <c r="B17" s="368"/>
      <c r="C17" s="368"/>
      <c r="D17" s="363"/>
      <c r="E17" s="320"/>
      <c r="F17" s="320"/>
      <c r="G17" s="320"/>
      <c r="H17" s="320"/>
      <c r="I17" s="320"/>
      <c r="J17" s="320"/>
      <c r="K17" s="320"/>
      <c r="L17" s="320"/>
      <c r="M17" s="320"/>
    </row>
    <row r="18" spans="1:16" x14ac:dyDescent="0.25">
      <c r="A18" s="254" t="s">
        <v>299</v>
      </c>
      <c r="C18" s="254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</row>
    <row r="19" spans="1:16" x14ac:dyDescent="0.25">
      <c r="A19" s="7" t="s">
        <v>91</v>
      </c>
      <c r="C19" s="5" t="s">
        <v>39</v>
      </c>
      <c r="D19" s="10">
        <f t="shared" ref="D19:M19" ca="1" si="1">D9</f>
        <v>-71060.996019315062</v>
      </c>
      <c r="E19" s="10">
        <f t="shared" ca="1" si="1"/>
        <v>-82166.800753616422</v>
      </c>
      <c r="F19" s="10">
        <f t="shared" ca="1" si="1"/>
        <v>82145.501409679171</v>
      </c>
      <c r="G19" s="10">
        <f t="shared" ca="1" si="1"/>
        <v>94481.184220000723</v>
      </c>
      <c r="H19" s="10">
        <f t="shared" ca="1" si="1"/>
        <v>106210.92686004144</v>
      </c>
      <c r="I19" s="10">
        <f t="shared" ca="1" si="1"/>
        <v>118639.21098411162</v>
      </c>
      <c r="J19" s="10">
        <f t="shared" ca="1" si="1"/>
        <v>131486.65252271504</v>
      </c>
      <c r="K19" s="10">
        <f t="shared" ca="1" si="1"/>
        <v>145458.88801536598</v>
      </c>
      <c r="L19" s="10">
        <f t="shared" ca="1" si="1"/>
        <v>160233.65034172405</v>
      </c>
      <c r="M19" s="10">
        <f t="shared" ca="1" si="1"/>
        <v>177676.65510408345</v>
      </c>
      <c r="N19" s="270">
        <f ca="1">SUM(D19:M19)</f>
        <v>863104.87268479005</v>
      </c>
    </row>
    <row r="20" spans="1:16" x14ac:dyDescent="0.25">
      <c r="A20" s="7" t="s">
        <v>107</v>
      </c>
      <c r="C20" s="5" t="s">
        <v>39</v>
      </c>
      <c r="D20" s="10">
        <f ca="1">IF(D2=1,D19,C20+D19)</f>
        <v>-71060.996019315062</v>
      </c>
      <c r="E20" s="10">
        <f ca="1">IF(E2=1,E19,D20+E19)</f>
        <v>-153227.79677293147</v>
      </c>
      <c r="F20" s="10">
        <f t="shared" ref="F20:M20" ca="1" si="2">IF(F2=1,F19,E20+F19)</f>
        <v>-71082.295363252299</v>
      </c>
      <c r="G20" s="10">
        <f t="shared" ca="1" si="2"/>
        <v>23398.888856748425</v>
      </c>
      <c r="H20" s="10">
        <f t="shared" ca="1" si="2"/>
        <v>129609.81571678986</v>
      </c>
      <c r="I20" s="10">
        <f t="shared" ca="1" si="2"/>
        <v>248249.02670090148</v>
      </c>
      <c r="J20" s="10">
        <f t="shared" ca="1" si="2"/>
        <v>379735.67922361649</v>
      </c>
      <c r="K20" s="10">
        <f t="shared" ca="1" si="2"/>
        <v>525194.56723898253</v>
      </c>
      <c r="L20" s="10">
        <f t="shared" ca="1" si="2"/>
        <v>685428.21758070658</v>
      </c>
      <c r="M20" s="10">
        <f t="shared" ca="1" si="2"/>
        <v>863104.87268479005</v>
      </c>
      <c r="N20" s="270" t="s">
        <v>36</v>
      </c>
    </row>
    <row r="21" spans="1:16" x14ac:dyDescent="0.25">
      <c r="A21" s="80" t="s">
        <v>422</v>
      </c>
      <c r="C21" s="210"/>
      <c r="D21" s="460">
        <f>IF(LEN(D1)&gt;5,0,D2)</f>
        <v>1</v>
      </c>
      <c r="E21" s="460">
        <f>D21+1</f>
        <v>2</v>
      </c>
      <c r="F21" s="460">
        <f t="shared" ref="F21:M21" si="3">E21+1</f>
        <v>3</v>
      </c>
      <c r="G21" s="460">
        <f t="shared" si="3"/>
        <v>4</v>
      </c>
      <c r="H21" s="460">
        <f t="shared" si="3"/>
        <v>5</v>
      </c>
      <c r="I21" s="460">
        <f t="shared" si="3"/>
        <v>6</v>
      </c>
      <c r="J21" s="460">
        <f t="shared" si="3"/>
        <v>7</v>
      </c>
      <c r="K21" s="460">
        <f t="shared" si="3"/>
        <v>8</v>
      </c>
      <c r="L21" s="460">
        <f t="shared" si="3"/>
        <v>9</v>
      </c>
      <c r="M21" s="460">
        <f t="shared" si="3"/>
        <v>10</v>
      </c>
      <c r="N21" s="270" t="s">
        <v>36</v>
      </c>
    </row>
    <row r="22" spans="1:16" x14ac:dyDescent="0.25">
      <c r="A22" s="80" t="s">
        <v>108</v>
      </c>
      <c r="B22" s="80"/>
      <c r="C22" s="81"/>
      <c r="D22" s="82">
        <f ca="1">IF(D20&lt;0,1,IF(D19&gt;D20,-C20/D19,0))</f>
        <v>1</v>
      </c>
      <c r="E22" s="82">
        <f t="shared" ref="E22:M22" ca="1" si="4">IF(E20&lt;0,1,IF(E19&gt;E20,-D20/E19,0))</f>
        <v>1</v>
      </c>
      <c r="F22" s="82">
        <f t="shared" ca="1" si="4"/>
        <v>1</v>
      </c>
      <c r="G22" s="82">
        <f t="shared" ca="1" si="4"/>
        <v>0.75234339990633703</v>
      </c>
      <c r="H22" s="82">
        <f t="shared" ca="1" si="4"/>
        <v>0</v>
      </c>
      <c r="I22" s="82">
        <f t="shared" ca="1" si="4"/>
        <v>0</v>
      </c>
      <c r="J22" s="82">
        <f t="shared" ca="1" si="4"/>
        <v>0</v>
      </c>
      <c r="K22" s="82">
        <f t="shared" ca="1" si="4"/>
        <v>0</v>
      </c>
      <c r="L22" s="82">
        <f t="shared" ca="1" si="4"/>
        <v>0</v>
      </c>
      <c r="M22" s="82">
        <f t="shared" ca="1" si="4"/>
        <v>0</v>
      </c>
      <c r="N22" s="359" t="s">
        <v>36</v>
      </c>
    </row>
    <row r="23" spans="1:16" x14ac:dyDescent="0.25">
      <c r="A23" s="7" t="s">
        <v>109</v>
      </c>
      <c r="C23" s="5"/>
      <c r="D23" s="83">
        <f>1/(1+$D$16)^D21</f>
        <v>0.88603354591634031</v>
      </c>
      <c r="E23" s="83">
        <f>1/(1+$D$16)^E21</f>
        <v>0.78505544448908338</v>
      </c>
      <c r="F23" s="83">
        <f t="shared" ref="F23:M23" si="5">1/(1+$D$16)^F21</f>
        <v>0.69558545922159121</v>
      </c>
      <c r="G23" s="83">
        <f t="shared" si="5"/>
        <v>0.61631205092195229</v>
      </c>
      <c r="H23" s="83">
        <f t="shared" si="5"/>
        <v>0.54607315186934946</v>
      </c>
      <c r="I23" s="83">
        <f t="shared" si="5"/>
        <v>0.48383913108051185</v>
      </c>
      <c r="J23" s="83">
        <f t="shared" si="5"/>
        <v>0.42869770096434689</v>
      </c>
      <c r="K23" s="83">
        <f t="shared" si="5"/>
        <v>0.3798405441116231</v>
      </c>
      <c r="L23" s="83">
        <f t="shared" si="5"/>
        <v>0.33655146418201348</v>
      </c>
      <c r="M23" s="83">
        <f t="shared" si="5"/>
        <v>0.2981958871925256</v>
      </c>
      <c r="N23" s="360" t="s">
        <v>36</v>
      </c>
    </row>
    <row r="24" spans="1:16" x14ac:dyDescent="0.25">
      <c r="A24" s="7" t="s">
        <v>110</v>
      </c>
      <c r="C24" s="5" t="s">
        <v>39</v>
      </c>
      <c r="D24" s="10">
        <f ca="1">D23*D19</f>
        <v>-62962.426279340667</v>
      </c>
      <c r="E24" s="10">
        <f t="shared" ref="E24:M24" ca="1" si="6">E23*E19</f>
        <v>-64505.494287876289</v>
      </c>
      <c r="F24" s="10">
        <f t="shared" ca="1" si="6"/>
        <v>57139.216321039552</v>
      </c>
      <c r="G24" s="10">
        <f t="shared" ca="1" si="6"/>
        <v>58229.892420163444</v>
      </c>
      <c r="H24" s="10">
        <f t="shared" ca="1" si="6"/>
        <v>57998.935593427777</v>
      </c>
      <c r="I24" s="10">
        <f t="shared" ca="1" si="6"/>
        <v>57402.292754630085</v>
      </c>
      <c r="J24" s="10">
        <f t="shared" ca="1" si="6"/>
        <v>56368.025643985879</v>
      </c>
      <c r="K24" s="10">
        <f t="shared" ca="1" si="6"/>
        <v>55251.183169628268</v>
      </c>
      <c r="L24" s="10">
        <f t="shared" ca="1" si="6"/>
        <v>53926.869633736016</v>
      </c>
      <c r="M24" s="10">
        <f t="shared" ca="1" si="6"/>
        <v>52982.447802162547</v>
      </c>
      <c r="N24" s="270">
        <f ca="1">SUM(D24:M24)</f>
        <v>321830.94277155661</v>
      </c>
    </row>
    <row r="25" spans="1:16" x14ac:dyDescent="0.25">
      <c r="A25" s="7" t="s">
        <v>111</v>
      </c>
      <c r="C25" s="5" t="s">
        <v>39</v>
      </c>
      <c r="D25" s="10">
        <f t="shared" ref="D25:I25" ca="1" si="7">IF(D2=1,D24,C25+D24)</f>
        <v>-62962.426279340667</v>
      </c>
      <c r="E25" s="10">
        <f t="shared" ca="1" si="7"/>
        <v>-127467.92056721696</v>
      </c>
      <c r="F25" s="10">
        <f t="shared" ca="1" si="7"/>
        <v>-70328.704246177411</v>
      </c>
      <c r="G25" s="10">
        <f t="shared" ca="1" si="7"/>
        <v>-12098.811826013967</v>
      </c>
      <c r="H25" s="10">
        <f t="shared" ca="1" si="7"/>
        <v>45900.12376741381</v>
      </c>
      <c r="I25" s="10">
        <f t="shared" ca="1" si="7"/>
        <v>103302.4165220439</v>
      </c>
      <c r="J25" s="10">
        <f t="shared" ref="J25:M25" ca="1" si="8">IF(J2=1,J24,I25+J24)</f>
        <v>159670.44216602977</v>
      </c>
      <c r="K25" s="10">
        <f t="shared" ca="1" si="8"/>
        <v>214921.62533565803</v>
      </c>
      <c r="L25" s="10">
        <f t="shared" ca="1" si="8"/>
        <v>268848.49496939406</v>
      </c>
      <c r="M25" s="10">
        <f t="shared" ca="1" si="8"/>
        <v>321830.94277155661</v>
      </c>
      <c r="N25" s="270" t="s">
        <v>36</v>
      </c>
      <c r="P25" s="84"/>
    </row>
    <row r="26" spans="1:16" x14ac:dyDescent="0.25">
      <c r="A26" s="80" t="s">
        <v>112</v>
      </c>
      <c r="C26" s="5"/>
      <c r="D26" s="82">
        <f ca="1">IF(D25&lt;0,1,IF(D24&gt;D25,-C25/D24,0))</f>
        <v>1</v>
      </c>
      <c r="E26" s="82">
        <f t="shared" ref="E26:M26" ca="1" si="9">IF(E25&lt;0,1,IF(E24&gt;E25,-D25/E24,0))</f>
        <v>1</v>
      </c>
      <c r="F26" s="82">
        <f t="shared" ca="1" si="9"/>
        <v>1</v>
      </c>
      <c r="G26" s="82">
        <f t="shared" ca="1" si="9"/>
        <v>1</v>
      </c>
      <c r="H26" s="82">
        <f t="shared" ca="1" si="9"/>
        <v>0.20860403216408266</v>
      </c>
      <c r="I26" s="82">
        <f t="shared" ca="1" si="9"/>
        <v>0</v>
      </c>
      <c r="J26" s="82">
        <f t="shared" ca="1" si="9"/>
        <v>0</v>
      </c>
      <c r="K26" s="82">
        <f t="shared" ca="1" si="9"/>
        <v>0</v>
      </c>
      <c r="L26" s="82">
        <f t="shared" ca="1" si="9"/>
        <v>0</v>
      </c>
      <c r="M26" s="82">
        <f t="shared" ca="1" si="9"/>
        <v>0</v>
      </c>
      <c r="N26" s="359" t="s">
        <v>36</v>
      </c>
      <c r="P26" s="84"/>
    </row>
    <row r="27" spans="1:16" x14ac:dyDescent="0.25"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6" x14ac:dyDescent="0.25">
      <c r="A28" s="189" t="s">
        <v>297</v>
      </c>
      <c r="B28" s="2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</row>
    <row r="29" spans="1:16" s="233" customFormat="1" x14ac:dyDescent="0.25">
      <c r="A29" s="230"/>
      <c r="B29" s="276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</row>
    <row r="30" spans="1:16" x14ac:dyDescent="0.25">
      <c r="A30" s="7" t="s">
        <v>113</v>
      </c>
      <c r="C30" s="5" t="s">
        <v>39</v>
      </c>
      <c r="D30" s="85">
        <f ca="1">SUM(D24:H24)</f>
        <v>45900.12376741381</v>
      </c>
      <c r="N30" s="33"/>
    </row>
    <row r="31" spans="1:16" x14ac:dyDescent="0.25">
      <c r="A31" s="7" t="s">
        <v>114</v>
      </c>
      <c r="C31" s="5" t="s">
        <v>14</v>
      </c>
      <c r="D31" s="86">
        <f ca="1">IFERROR(IRR(D19:I19),"н/д")</f>
        <v>0.3855472082615119</v>
      </c>
    </row>
    <row r="32" spans="1:16" x14ac:dyDescent="0.25">
      <c r="A32" s="7" t="s">
        <v>115</v>
      </c>
      <c r="C32" s="5" t="s">
        <v>15</v>
      </c>
      <c r="D32" s="87">
        <f ca="1">IF(N22=1,"более 15 лет",SUM(D22:M22))</f>
        <v>3.7523433999063371</v>
      </c>
      <c r="E32" s="88">
        <f ca="1">12*D32</f>
        <v>45.028120798876046</v>
      </c>
    </row>
    <row r="33" spans="1:4" x14ac:dyDescent="0.25">
      <c r="A33" s="7" t="s">
        <v>116</v>
      </c>
      <c r="C33" s="5" t="s">
        <v>15</v>
      </c>
      <c r="D33" s="87">
        <f ca="1">IF(N26=1,"более 15 лет",SUM(D26:M26))</f>
        <v>4.2086040321640823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73"/>
  <sheetViews>
    <sheetView showGridLines="0" view="pageBreakPreview" topLeftCell="A34" zoomScale="85" zoomScaleNormal="85" zoomScaleSheetLayoutView="85" workbookViewId="0">
      <selection activeCell="A52" sqref="A52"/>
    </sheetView>
  </sheetViews>
  <sheetFormatPr defaultColWidth="9.140625" defaultRowHeight="15" x14ac:dyDescent="0.25"/>
  <cols>
    <col min="1" max="1" width="71.42578125" style="89" customWidth="1"/>
    <col min="2" max="2" width="10.28515625" style="89" customWidth="1"/>
    <col min="3" max="12" width="14.85546875" style="89" customWidth="1"/>
    <col min="13" max="13" width="9" style="89" customWidth="1"/>
    <col min="14" max="14" width="9.28515625" style="361" customWidth="1"/>
    <col min="15" max="15" width="13.42578125" style="361" customWidth="1"/>
    <col min="16" max="16" width="10.85546875" style="361" customWidth="1"/>
    <col min="17" max="16384" width="9.140625" style="90"/>
  </cols>
  <sheetData>
    <row r="1" spans="1:16" ht="31.5" customHeight="1" x14ac:dyDescent="0.25">
      <c r="A1" s="680" t="s">
        <v>117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6" x14ac:dyDescent="0.25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</row>
    <row r="3" spans="1:16" x14ac:dyDescent="0.25">
      <c r="A3" s="682" t="s">
        <v>118</v>
      </c>
      <c r="B3" s="682" t="s">
        <v>119</v>
      </c>
      <c r="C3" s="683" t="s">
        <v>120</v>
      </c>
      <c r="D3" s="683"/>
      <c r="E3" s="683"/>
      <c r="F3" s="683"/>
      <c r="G3" s="683"/>
      <c r="H3" s="683"/>
      <c r="I3" s="683"/>
      <c r="J3" s="683"/>
      <c r="K3" s="683"/>
      <c r="L3" s="683"/>
    </row>
    <row r="4" spans="1:16" x14ac:dyDescent="0.25">
      <c r="A4" s="682"/>
      <c r="B4" s="682"/>
      <c r="C4" s="91">
        <f>Предпосылки!G40</f>
        <v>2022</v>
      </c>
      <c r="D4" s="91">
        <f>Предпосылки!H40</f>
        <v>2023</v>
      </c>
      <c r="E4" s="91">
        <f>Предпосылки!I40</f>
        <v>2024</v>
      </c>
      <c r="F4" s="91">
        <f>Предпосылки!J40</f>
        <v>2025</v>
      </c>
      <c r="G4" s="91">
        <f>Предпосылки!K40</f>
        <v>2026</v>
      </c>
      <c r="H4" s="91">
        <f>Предпосылки!L40</f>
        <v>2027</v>
      </c>
      <c r="I4" s="91">
        <f>Предпосылки!M40</f>
        <v>2028</v>
      </c>
      <c r="J4" s="91">
        <f>Предпосылки!N40</f>
        <v>2029</v>
      </c>
      <c r="K4" s="91">
        <f>Предпосылки!O40</f>
        <v>2030</v>
      </c>
      <c r="L4" s="91">
        <f>Предпосылки!P40</f>
        <v>2031</v>
      </c>
      <c r="N4" s="404" t="s">
        <v>6</v>
      </c>
      <c r="O4" s="404" t="s">
        <v>373</v>
      </c>
      <c r="P4" s="408" t="s">
        <v>374</v>
      </c>
    </row>
    <row r="5" spans="1:16" x14ac:dyDescent="0.25">
      <c r="A5" s="91">
        <v>1</v>
      </c>
      <c r="B5" s="91">
        <v>2</v>
      </c>
      <c r="C5" s="91">
        <v>3</v>
      </c>
      <c r="D5" s="92">
        <v>4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2">
        <v>11</v>
      </c>
      <c r="L5" s="92">
        <v>12</v>
      </c>
      <c r="N5" s="405"/>
      <c r="O5" s="405"/>
      <c r="P5" s="409"/>
    </row>
    <row r="6" spans="1:16" x14ac:dyDescent="0.25">
      <c r="A6" s="679" t="s">
        <v>121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79"/>
      <c r="N6" s="405"/>
      <c r="O6" s="405"/>
      <c r="P6" s="409"/>
    </row>
    <row r="7" spans="1:16" x14ac:dyDescent="0.25">
      <c r="A7" s="93" t="s">
        <v>122</v>
      </c>
      <c r="B7" s="94" t="s">
        <v>123</v>
      </c>
      <c r="C7" s="95">
        <f>БДР!E5</f>
        <v>0</v>
      </c>
      <c r="D7" s="95">
        <f>БДР!F5</f>
        <v>185231.2</v>
      </c>
      <c r="E7" s="95">
        <f>БДР!G5</f>
        <v>209079.717</v>
      </c>
      <c r="F7" s="95">
        <f>БДР!H5</f>
        <v>232613.34096000003</v>
      </c>
      <c r="G7" s="95">
        <f>БДР!I5</f>
        <v>257695.12728960003</v>
      </c>
      <c r="H7" s="95">
        <f>БДР!J5</f>
        <v>284411.27518003207</v>
      </c>
      <c r="I7" s="95">
        <f>БДР!K5</f>
        <v>312852.40269803529</v>
      </c>
      <c r="J7" s="95">
        <f>БДР!L5</f>
        <v>343113.76237719069</v>
      </c>
      <c r="K7" s="95">
        <f>БДР!M5</f>
        <v>375295.46698636166</v>
      </c>
      <c r="L7" s="95">
        <f>БДР!N5</f>
        <v>415901.20603734505</v>
      </c>
      <c r="M7" s="96"/>
      <c r="N7" s="406">
        <f>SUM(C7:L7)</f>
        <v>2616193.4985285648</v>
      </c>
      <c r="O7" s="406">
        <f>БДР!O5</f>
        <v>2616193.4985285648</v>
      </c>
      <c r="P7" s="410">
        <f>N7-O7</f>
        <v>0</v>
      </c>
    </row>
    <row r="8" spans="1:16" x14ac:dyDescent="0.25">
      <c r="A8" s="105" t="s">
        <v>76</v>
      </c>
      <c r="B8" s="97" t="s">
        <v>123</v>
      </c>
      <c r="C8" s="394">
        <f>Налоги!E34</f>
        <v>0</v>
      </c>
      <c r="D8" s="394">
        <f>Налоги!F34</f>
        <v>78451.675908600024</v>
      </c>
      <c r="E8" s="394">
        <f>Налоги!G34</f>
        <v>87398.078588872391</v>
      </c>
      <c r="F8" s="394">
        <f>Налоги!H34</f>
        <v>98004.683120989997</v>
      </c>
      <c r="G8" s="394">
        <f>Налоги!I34</f>
        <v>110641.34714632096</v>
      </c>
      <c r="H8" s="394">
        <f>Налоги!J34</f>
        <v>124103.05809857871</v>
      </c>
      <c r="I8" s="394">
        <f>Налоги!K34</f>
        <v>137364.02614207374</v>
      </c>
      <c r="J8" s="394">
        <f>Налоги!L34</f>
        <v>151648.5110468627</v>
      </c>
      <c r="K8" s="394">
        <f>Налоги!M34</f>
        <v>166826.74847486016</v>
      </c>
      <c r="L8" s="394">
        <f>Налоги!N34</f>
        <v>186030.28190375047</v>
      </c>
      <c r="N8" s="406">
        <f>SUM(C8:L8)</f>
        <v>1140468.4104309091</v>
      </c>
      <c r="O8" s="406">
        <f>БДР!O20</f>
        <v>1140468.4104309091</v>
      </c>
      <c r="P8" s="410">
        <f t="shared" ref="P8:P59" si="0">N8-O8</f>
        <v>0</v>
      </c>
    </row>
    <row r="9" spans="1:16" x14ac:dyDescent="0.25">
      <c r="A9" s="93" t="s">
        <v>124</v>
      </c>
      <c r="B9" s="94" t="s">
        <v>123</v>
      </c>
      <c r="C9" s="95">
        <f>-БДР!E10</f>
        <v>1711.0800000000004</v>
      </c>
      <c r="D9" s="95">
        <f>-БДР!F10</f>
        <v>5031.4824000000008</v>
      </c>
      <c r="E9" s="95">
        <f>-БДР!G10</f>
        <v>9758.9834496000021</v>
      </c>
      <c r="F9" s="95">
        <f>-БДР!H10</f>
        <v>11054.569060180802</v>
      </c>
      <c r="G9" s="95">
        <f>-БДР!I10</f>
        <v>11496.751822588034</v>
      </c>
      <c r="H9" s="95">
        <f>-БДР!J10</f>
        <v>11956.621895491557</v>
      </c>
      <c r="I9" s="95">
        <f>-БДР!K10</f>
        <v>12434.886771311219</v>
      </c>
      <c r="J9" s="95">
        <f>-БДР!L10</f>
        <v>12932.282242163667</v>
      </c>
      <c r="K9" s="95">
        <f>-БДР!M10</f>
        <v>13449.573531850216</v>
      </c>
      <c r="L9" s="95">
        <f>-БДР!N10</f>
        <v>13987.556473124223</v>
      </c>
      <c r="N9" s="406">
        <f>SUM(C9:L9)</f>
        <v>103813.78764630971</v>
      </c>
      <c r="O9" s="406">
        <f>-БДР!O10</f>
        <v>103813.78764630971</v>
      </c>
      <c r="P9" s="410">
        <f t="shared" si="0"/>
        <v>0</v>
      </c>
    </row>
    <row r="10" spans="1:16" x14ac:dyDescent="0.25">
      <c r="A10" s="93" t="s">
        <v>125</v>
      </c>
      <c r="B10" s="97" t="s">
        <v>123</v>
      </c>
      <c r="C10" s="98" t="e">
        <f>SUM('Доходы и расходы'!E202,'Доходы и расходы'!E215,'Доходы и расходы'!E228)</f>
        <v>#VALUE!</v>
      </c>
      <c r="D10" s="98" t="e">
        <f>SUM('Доходы и расходы'!F202,'Доходы и расходы'!F215,'Доходы и расходы'!F228)</f>
        <v>#VALUE!</v>
      </c>
      <c r="E10" s="98" t="e">
        <f>SUM('Доходы и расходы'!G202,'Доходы и расходы'!G215,'Доходы и расходы'!G228)</f>
        <v>#VALUE!</v>
      </c>
      <c r="F10" s="98" t="e">
        <f>SUM('Доходы и расходы'!H202,'Доходы и расходы'!H215,'Доходы и расходы'!H228)</f>
        <v>#VALUE!</v>
      </c>
      <c r="G10" s="98" t="e">
        <f>SUM('Доходы и расходы'!I202,'Доходы и расходы'!I215,'Доходы и расходы'!I228)</f>
        <v>#VALUE!</v>
      </c>
      <c r="H10" s="98" t="e">
        <f>SUM('Доходы и расходы'!J202,'Доходы и расходы'!J215,'Доходы и расходы'!J228)</f>
        <v>#VALUE!</v>
      </c>
      <c r="I10" s="98" t="e">
        <f>SUM('Доходы и расходы'!K202,'Доходы и расходы'!K215,'Доходы и расходы'!K228)</f>
        <v>#VALUE!</v>
      </c>
      <c r="J10" s="98" t="e">
        <f>SUM('Доходы и расходы'!L202,'Доходы и расходы'!L215,'Доходы и расходы'!L228)</f>
        <v>#VALUE!</v>
      </c>
      <c r="K10" s="98" t="e">
        <f>SUM('Доходы и расходы'!M202,'Доходы и расходы'!M215,'Доходы и расходы'!M228)</f>
        <v>#VALUE!</v>
      </c>
      <c r="L10" s="98" t="e">
        <f>SUM('Доходы и расходы'!N202,'Доходы и расходы'!N215,'Доходы и расходы'!N228)</f>
        <v>#VALUE!</v>
      </c>
      <c r="N10" s="406" t="e">
        <f>AVERAGE(C10:L10)</f>
        <v>#VALUE!</v>
      </c>
      <c r="O10" s="406" t="e">
        <f>AVERAGE('Доходы и расходы'!E202:N202)+AVERAGE('Доходы и расходы'!E215:N215)+AVERAGE('Доходы и расходы'!E228:N228)</f>
        <v>#VALUE!</v>
      </c>
      <c r="P10" s="410" t="e">
        <f t="shared" si="0"/>
        <v>#VALUE!</v>
      </c>
    </row>
    <row r="11" spans="1:16" s="103" customFormat="1" ht="30" x14ac:dyDescent="0.25">
      <c r="A11" s="99" t="s">
        <v>126</v>
      </c>
      <c r="B11" s="100" t="s">
        <v>123</v>
      </c>
      <c r="C11" s="101">
        <f>Налоги!E28</f>
        <v>2604</v>
      </c>
      <c r="D11" s="101">
        <f>Налоги!F28</f>
        <v>59464.347250000006</v>
      </c>
      <c r="E11" s="101">
        <f>Налоги!G28</f>
        <v>111464.76250000001</v>
      </c>
      <c r="F11" s="101">
        <f>Налоги!H28</f>
        <v>106952.89850000001</v>
      </c>
      <c r="G11" s="101">
        <f>Налоги!I28</f>
        <v>102441.03450000001</v>
      </c>
      <c r="H11" s="101">
        <f>Налоги!J28</f>
        <v>97929.170500000007</v>
      </c>
      <c r="I11" s="101">
        <f>Налоги!K28</f>
        <v>93417.306500000006</v>
      </c>
      <c r="J11" s="101">
        <f>Налоги!L28</f>
        <v>88905.442500000005</v>
      </c>
      <c r="K11" s="101">
        <f>Налоги!M28</f>
        <v>84393.578500000003</v>
      </c>
      <c r="L11" s="101">
        <f>Налоги!N28</f>
        <v>79881.714500000002</v>
      </c>
      <c r="M11" s="102"/>
      <c r="N11" s="406">
        <f>AVERAGE(C11:L11)</f>
        <v>82745.425524999999</v>
      </c>
      <c r="O11" s="407">
        <f>AVERAGE(Налоги!E28:N28)</f>
        <v>82745.425524999999</v>
      </c>
      <c r="P11" s="410">
        <f t="shared" si="0"/>
        <v>0</v>
      </c>
    </row>
    <row r="12" spans="1:16" x14ac:dyDescent="0.25">
      <c r="A12" s="93" t="s">
        <v>127</v>
      </c>
      <c r="B12" s="94" t="s">
        <v>128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N12" s="406"/>
      <c r="O12" s="406"/>
      <c r="P12" s="410"/>
    </row>
    <row r="13" spans="1:16" x14ac:dyDescent="0.25">
      <c r="A13" s="105" t="s">
        <v>129</v>
      </c>
      <c r="B13" s="94" t="s">
        <v>123</v>
      </c>
      <c r="C13" s="104">
        <f>IF(Предпосылки!$C$372="Общий",Налоги!E17,0)</f>
        <v>0</v>
      </c>
      <c r="D13" s="104">
        <f>IF(Предпосылки!$C$372="Общий",Налоги!F17,0)</f>
        <v>0</v>
      </c>
      <c r="E13" s="104">
        <f>IF(Предпосылки!$C$372="Общий",Налоги!G17,0)</f>
        <v>0</v>
      </c>
      <c r="F13" s="104">
        <f>IF(Предпосылки!$C$372="Общий",Налоги!H17,0)</f>
        <v>0</v>
      </c>
      <c r="G13" s="104">
        <f>IF(Предпосылки!$C$372="Общий",Налоги!I17,0)</f>
        <v>0</v>
      </c>
      <c r="H13" s="104">
        <f>IF(Предпосылки!$C$372="Общий",Налоги!J17,0)</f>
        <v>0</v>
      </c>
      <c r="I13" s="104">
        <f>IF(Предпосылки!$C$372="Общий",Налоги!K17,0)</f>
        <v>0</v>
      </c>
      <c r="J13" s="104">
        <f>IF(Предпосылки!$C$372="Общий",Налоги!L17,0)</f>
        <v>0</v>
      </c>
      <c r="K13" s="104">
        <f>IF(Предпосылки!$C$372="Общий",Налоги!M17,0)</f>
        <v>0</v>
      </c>
      <c r="L13" s="104">
        <f>IF(Предпосылки!$C$372="Общий",Налоги!N17,0)</f>
        <v>0</v>
      </c>
      <c r="N13" s="406">
        <f>SUM(C13:L13)</f>
        <v>0</v>
      </c>
      <c r="O13" s="406">
        <f>Налоги!O17</f>
        <v>2616193.4985285648</v>
      </c>
      <c r="P13" s="410">
        <f t="shared" si="0"/>
        <v>-2616193.4985285648</v>
      </c>
    </row>
    <row r="14" spans="1:16" x14ac:dyDescent="0.25">
      <c r="A14" s="105" t="s">
        <v>130</v>
      </c>
      <c r="B14" s="97" t="s">
        <v>123</v>
      </c>
      <c r="C14" s="104">
        <f>IF(Предпосылки!$C$372="Общий",Налоги!E18,0)</f>
        <v>0</v>
      </c>
      <c r="D14" s="104">
        <f>IF(Предпосылки!$C$372="Общий",Налоги!F18,0)</f>
        <v>0</v>
      </c>
      <c r="E14" s="104">
        <f>IF(Предпосылки!$C$372="Общий",Налоги!G18,0)</f>
        <v>0</v>
      </c>
      <c r="F14" s="104">
        <f>IF(Предпосылки!$C$372="Общий",Налоги!H18,0)</f>
        <v>0</v>
      </c>
      <c r="G14" s="104">
        <f>IF(Предпосылки!$C$372="Общий",Налоги!I18,0)</f>
        <v>0</v>
      </c>
      <c r="H14" s="104">
        <f>IF(Предпосылки!$C$372="Общий",Налоги!J18,0)</f>
        <v>0</v>
      </c>
      <c r="I14" s="104">
        <f>IF(Предпосылки!$C$372="Общий",Налоги!K18,0)</f>
        <v>0</v>
      </c>
      <c r="J14" s="104">
        <f>IF(Предпосылки!$C$372="Общий",Налоги!L18,0)</f>
        <v>0</v>
      </c>
      <c r="K14" s="104">
        <f>IF(Предпосылки!$C$372="Общий",Налоги!M18,0)</f>
        <v>0</v>
      </c>
      <c r="L14" s="104">
        <f>IF(Предпосылки!$C$372="Общий",Налоги!N18,0)</f>
        <v>0</v>
      </c>
      <c r="N14" s="406">
        <f>SUM(C14:L14)</f>
        <v>0</v>
      </c>
      <c r="O14" s="406">
        <f>Налоги!O18</f>
        <v>1332562.9967368888</v>
      </c>
      <c r="P14" s="410">
        <f t="shared" si="0"/>
        <v>-1332562.9967368888</v>
      </c>
    </row>
    <row r="15" spans="1:16" x14ac:dyDescent="0.25">
      <c r="A15" s="93" t="s">
        <v>131</v>
      </c>
      <c r="B15" s="94" t="s">
        <v>123</v>
      </c>
      <c r="C15" s="104">
        <f>IF(Налоги!E24&gt;0,Налоги!E24,0)</f>
        <v>0</v>
      </c>
      <c r="D15" s="104">
        <f>IF(Налоги!F24&gt;0,Налоги!F24,0)</f>
        <v>0</v>
      </c>
      <c r="E15" s="104">
        <f>IF(Налоги!G24&gt;0,Налоги!G24,0)</f>
        <v>0</v>
      </c>
      <c r="F15" s="104">
        <f>IF(Налоги!H24&gt;0,Налоги!H24,0)</f>
        <v>0</v>
      </c>
      <c r="G15" s="104">
        <f>IF(Налоги!I24&gt;0,Налоги!I24,0)</f>
        <v>0</v>
      </c>
      <c r="H15" s="104">
        <f>IF(Налоги!J24&gt;0,Налоги!J24,0)</f>
        <v>0</v>
      </c>
      <c r="I15" s="104">
        <f>IF(Налоги!K24&gt;0,Налоги!K24,0)</f>
        <v>0</v>
      </c>
      <c r="J15" s="104">
        <f>IF(Налоги!L24&gt;0,Налоги!L24,0)</f>
        <v>0</v>
      </c>
      <c r="K15" s="104">
        <f>IF(Налоги!M24&gt;0,Налоги!M24,0)</f>
        <v>0</v>
      </c>
      <c r="L15" s="104">
        <f>IF(Налоги!N24&gt;0,Налоги!N24,0)</f>
        <v>0</v>
      </c>
      <c r="N15" s="406">
        <f>SUM(C15:L15)</f>
        <v>0</v>
      </c>
      <c r="O15" s="406">
        <f>SUMIF(Налоги!E24:N24,"&gt;0",Налоги!E24:N24)</f>
        <v>0</v>
      </c>
      <c r="P15" s="410">
        <f t="shared" si="0"/>
        <v>0</v>
      </c>
    </row>
    <row r="16" spans="1:16" x14ac:dyDescent="0.25">
      <c r="A16" s="679" t="s">
        <v>132</v>
      </c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N16" s="406"/>
      <c r="O16" s="406"/>
      <c r="P16" s="410"/>
    </row>
    <row r="17" spans="1:16" ht="30" x14ac:dyDescent="0.25">
      <c r="A17" s="93" t="s">
        <v>502</v>
      </c>
      <c r="B17" s="94" t="s">
        <v>123</v>
      </c>
      <c r="C17" s="104">
        <f>-Налоги!E35</f>
        <v>0</v>
      </c>
      <c r="D17" s="104">
        <f>-Налоги!F35</f>
        <v>0</v>
      </c>
      <c r="E17" s="104">
        <f>-Налоги!G35</f>
        <v>0</v>
      </c>
      <c r="F17" s="104">
        <f>-Налоги!H35</f>
        <v>0</v>
      </c>
      <c r="G17" s="104">
        <f>-Налоги!I35</f>
        <v>0</v>
      </c>
      <c r="H17" s="104">
        <f>-Налоги!J35</f>
        <v>0</v>
      </c>
      <c r="I17" s="104">
        <f>-Налоги!K35</f>
        <v>0</v>
      </c>
      <c r="J17" s="104">
        <f>-Налоги!L35</f>
        <v>0</v>
      </c>
      <c r="K17" s="104">
        <f>-Налоги!M35</f>
        <v>0</v>
      </c>
      <c r="L17" s="104">
        <f>-Налоги!N35</f>
        <v>0</v>
      </c>
      <c r="M17" s="96"/>
      <c r="N17" s="406">
        <f t="shared" ref="N17:N59" si="1">SUM(C17:L17)</f>
        <v>0</v>
      </c>
      <c r="O17" s="406">
        <f>-БДР!O21</f>
        <v>0</v>
      </c>
      <c r="P17" s="410">
        <f t="shared" si="0"/>
        <v>0</v>
      </c>
    </row>
    <row r="18" spans="1:16" x14ac:dyDescent="0.25">
      <c r="A18" s="93" t="s">
        <v>133</v>
      </c>
      <c r="B18" s="94" t="s">
        <v>123</v>
      </c>
      <c r="C18" s="104">
        <f>-Налоги!E38</f>
        <v>222.44040000000007</v>
      </c>
      <c r="D18" s="104">
        <f>-Налоги!F38</f>
        <v>654.09271200000012</v>
      </c>
      <c r="E18" s="104">
        <f>-Налоги!G38</f>
        <v>1268.6678484480003</v>
      </c>
      <c r="F18" s="104">
        <f>-Налоги!H38</f>
        <v>1437.0939778235042</v>
      </c>
      <c r="G18" s="104">
        <f>-Налоги!I38</f>
        <v>1494.5777369364446</v>
      </c>
      <c r="H18" s="104">
        <f>-Налоги!J38</f>
        <v>1554.3608464139024</v>
      </c>
      <c r="I18" s="104">
        <f>-Налоги!K38</f>
        <v>1616.5352802704585</v>
      </c>
      <c r="J18" s="104">
        <f>-Налоги!L38</f>
        <v>1681.1966914812767</v>
      </c>
      <c r="K18" s="104">
        <f>-Налоги!M38</f>
        <v>1748.4445591405281</v>
      </c>
      <c r="L18" s="104">
        <f>-Налоги!N38</f>
        <v>1818.382341506149</v>
      </c>
      <c r="M18" s="96"/>
      <c r="N18" s="406">
        <f t="shared" si="1"/>
        <v>13495.792394020264</v>
      </c>
      <c r="O18" s="406">
        <f>-Налоги!O38</f>
        <v>13495.792394020264</v>
      </c>
      <c r="P18" s="410">
        <f t="shared" si="0"/>
        <v>0</v>
      </c>
    </row>
    <row r="19" spans="1:16" x14ac:dyDescent="0.25">
      <c r="A19" s="93" t="s">
        <v>134</v>
      </c>
      <c r="B19" s="94" t="s">
        <v>123</v>
      </c>
      <c r="C19" s="104">
        <f>-Налоги!E29</f>
        <v>0</v>
      </c>
      <c r="D19" s="104">
        <f>-Налоги!F29</f>
        <v>0</v>
      </c>
      <c r="E19" s="104">
        <f>-Налоги!G29</f>
        <v>0</v>
      </c>
      <c r="F19" s="104">
        <f>-Налоги!H29</f>
        <v>0</v>
      </c>
      <c r="G19" s="104">
        <f>-Налоги!I29</f>
        <v>0</v>
      </c>
      <c r="H19" s="104">
        <f>-Налоги!J29</f>
        <v>0</v>
      </c>
      <c r="I19" s="104">
        <f>-Налоги!K29</f>
        <v>0</v>
      </c>
      <c r="J19" s="104">
        <f>-Налоги!L29</f>
        <v>0</v>
      </c>
      <c r="K19" s="104">
        <f>-Налоги!M29</f>
        <v>0</v>
      </c>
      <c r="L19" s="104">
        <f>-Налоги!N29</f>
        <v>0</v>
      </c>
      <c r="M19" s="96"/>
      <c r="N19" s="406">
        <f t="shared" si="1"/>
        <v>0</v>
      </c>
      <c r="O19" s="406">
        <f>-Налоги!O29</f>
        <v>0</v>
      </c>
      <c r="P19" s="410">
        <f t="shared" si="0"/>
        <v>0</v>
      </c>
    </row>
    <row r="20" spans="1:16" x14ac:dyDescent="0.25">
      <c r="A20" s="93" t="s">
        <v>135</v>
      </c>
      <c r="B20" s="94" t="s">
        <v>123</v>
      </c>
      <c r="C20" s="104">
        <f>-Налоги!E46</f>
        <v>0</v>
      </c>
      <c r="D20" s="104">
        <f>-Налоги!F46</f>
        <v>0</v>
      </c>
      <c r="E20" s="104">
        <f>-Налоги!G46</f>
        <v>0</v>
      </c>
      <c r="F20" s="104">
        <f>-Налоги!H46</f>
        <v>0</v>
      </c>
      <c r="G20" s="104">
        <f>-Налоги!I46</f>
        <v>0</v>
      </c>
      <c r="H20" s="104">
        <f>-Налоги!J46</f>
        <v>0</v>
      </c>
      <c r="I20" s="104">
        <f>-Налоги!K46</f>
        <v>0</v>
      </c>
      <c r="J20" s="104">
        <f>-Налоги!L46</f>
        <v>0</v>
      </c>
      <c r="K20" s="104">
        <f>-Налоги!M46</f>
        <v>0</v>
      </c>
      <c r="L20" s="104">
        <f>-Налоги!N46</f>
        <v>0</v>
      </c>
      <c r="M20" s="96"/>
      <c r="N20" s="406">
        <f t="shared" si="1"/>
        <v>0</v>
      </c>
      <c r="O20" s="406">
        <f>-Налоги!O46</f>
        <v>0</v>
      </c>
      <c r="P20" s="410">
        <f t="shared" si="0"/>
        <v>0</v>
      </c>
    </row>
    <row r="21" spans="1:16" x14ac:dyDescent="0.25">
      <c r="A21" s="106" t="s">
        <v>66</v>
      </c>
      <c r="B21" s="94" t="s">
        <v>123</v>
      </c>
      <c r="C21" s="98">
        <f>-Налоги!E24</f>
        <v>0</v>
      </c>
      <c r="D21" s="98">
        <f>-Налоги!F24</f>
        <v>0</v>
      </c>
      <c r="E21" s="98">
        <f>-Налоги!G24</f>
        <v>0</v>
      </c>
      <c r="F21" s="98">
        <f>-Налоги!H24</f>
        <v>0</v>
      </c>
      <c r="G21" s="98">
        <f>-Налоги!I24</f>
        <v>0</v>
      </c>
      <c r="H21" s="98">
        <f>-Налоги!J24</f>
        <v>0</v>
      </c>
      <c r="I21" s="98">
        <f>-Налоги!K24</f>
        <v>0</v>
      </c>
      <c r="J21" s="98">
        <f>-Налоги!L24</f>
        <v>0</v>
      </c>
      <c r="K21" s="98">
        <f>-Налоги!M24</f>
        <v>0</v>
      </c>
      <c r="L21" s="98">
        <f>-Налоги!N24</f>
        <v>0</v>
      </c>
      <c r="M21" s="96"/>
      <c r="N21" s="406">
        <f t="shared" si="1"/>
        <v>0</v>
      </c>
      <c r="O21" s="406">
        <f>-Налоги!O24</f>
        <v>0</v>
      </c>
      <c r="P21" s="410">
        <f t="shared" si="0"/>
        <v>0</v>
      </c>
    </row>
    <row r="22" spans="1:16" ht="30" x14ac:dyDescent="0.25">
      <c r="A22" s="99" t="s">
        <v>136</v>
      </c>
      <c r="B22" s="100" t="s">
        <v>123</v>
      </c>
      <c r="C22" s="101">
        <f>-БДР!E11</f>
        <v>523.59048000000018</v>
      </c>
      <c r="D22" s="101">
        <f>-БДР!F11</f>
        <v>1539.6336144000004</v>
      </c>
      <c r="E22" s="101">
        <f>-БДР!G11</f>
        <v>2986.2489355776011</v>
      </c>
      <c r="F22" s="101">
        <f>-БДР!H11</f>
        <v>3382.6981324153257</v>
      </c>
      <c r="G22" s="101">
        <f>-БДР!I11</f>
        <v>3518.0060577119389</v>
      </c>
      <c r="H22" s="101">
        <f>-БДР!J11</f>
        <v>3658.7263000204171</v>
      </c>
      <c r="I22" s="101">
        <f>-БДР!K11</f>
        <v>3805.0753520212338</v>
      </c>
      <c r="J22" s="101">
        <f>-БДР!L11</f>
        <v>3957.2783661020826</v>
      </c>
      <c r="K22" s="101">
        <f>-БДР!M11</f>
        <v>4115.5695007461663</v>
      </c>
      <c r="L22" s="101">
        <f>-БДР!N11</f>
        <v>4280.1922807760129</v>
      </c>
      <c r="M22" s="96"/>
      <c r="N22" s="406">
        <f t="shared" si="1"/>
        <v>31767.019019770778</v>
      </c>
      <c r="O22" s="406">
        <f>-БДР!O11</f>
        <v>31767.019019770778</v>
      </c>
      <c r="P22" s="410">
        <f t="shared" si="0"/>
        <v>0</v>
      </c>
    </row>
    <row r="23" spans="1:16" x14ac:dyDescent="0.25">
      <c r="A23" s="93" t="s">
        <v>137</v>
      </c>
      <c r="B23" s="94" t="s">
        <v>123</v>
      </c>
      <c r="C23" s="98">
        <f>-Налоги!E63</f>
        <v>0</v>
      </c>
      <c r="D23" s="98">
        <f>-Налоги!F63</f>
        <v>0</v>
      </c>
      <c r="E23" s="98">
        <f>-Налоги!G63</f>
        <v>0</v>
      </c>
      <c r="F23" s="98">
        <f>-Налоги!H63</f>
        <v>0</v>
      </c>
      <c r="G23" s="98">
        <f>-Налоги!I63</f>
        <v>0</v>
      </c>
      <c r="H23" s="98">
        <f>-Налоги!J63</f>
        <v>0</v>
      </c>
      <c r="I23" s="98">
        <f>-Налоги!K63</f>
        <v>0</v>
      </c>
      <c r="J23" s="98">
        <f>-Налоги!L63</f>
        <v>0</v>
      </c>
      <c r="K23" s="98">
        <f>-Налоги!M63</f>
        <v>0</v>
      </c>
      <c r="L23" s="98">
        <f>-Налоги!N63</f>
        <v>0</v>
      </c>
      <c r="M23" s="96"/>
      <c r="N23" s="406">
        <f t="shared" si="1"/>
        <v>0</v>
      </c>
      <c r="O23" s="406">
        <f>-Налоги!O63</f>
        <v>0</v>
      </c>
      <c r="P23" s="410">
        <f t="shared" si="0"/>
        <v>0</v>
      </c>
    </row>
    <row r="24" spans="1:16" x14ac:dyDescent="0.25">
      <c r="A24" s="107" t="s">
        <v>138</v>
      </c>
      <c r="B24" s="94" t="s">
        <v>123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6"/>
      <c r="N24" s="406">
        <f t="shared" si="1"/>
        <v>0</v>
      </c>
      <c r="O24" s="406"/>
      <c r="P24" s="410">
        <f t="shared" si="0"/>
        <v>0</v>
      </c>
    </row>
    <row r="25" spans="1:16" x14ac:dyDescent="0.25">
      <c r="A25" s="106" t="s">
        <v>139</v>
      </c>
      <c r="B25" s="94" t="s">
        <v>123</v>
      </c>
      <c r="C25" s="98">
        <f>SUM(C26:C28)</f>
        <v>0</v>
      </c>
      <c r="D25" s="98">
        <f>SUM(D26:D28)</f>
        <v>0</v>
      </c>
      <c r="E25" s="98">
        <f t="shared" ref="E25:L25" si="2">SUM(E26:E28)</f>
        <v>0</v>
      </c>
      <c r="F25" s="98">
        <f t="shared" si="2"/>
        <v>0</v>
      </c>
      <c r="G25" s="98">
        <f t="shared" si="2"/>
        <v>0</v>
      </c>
      <c r="H25" s="98">
        <f t="shared" si="2"/>
        <v>0</v>
      </c>
      <c r="I25" s="98">
        <f t="shared" si="2"/>
        <v>0</v>
      </c>
      <c r="J25" s="98">
        <f t="shared" si="2"/>
        <v>0</v>
      </c>
      <c r="K25" s="98">
        <f t="shared" si="2"/>
        <v>0</v>
      </c>
      <c r="L25" s="98">
        <f t="shared" si="2"/>
        <v>0</v>
      </c>
      <c r="M25" s="96"/>
      <c r="N25" s="406">
        <f t="shared" si="1"/>
        <v>0</v>
      </c>
      <c r="O25" s="406"/>
      <c r="P25" s="410">
        <f t="shared" si="0"/>
        <v>0</v>
      </c>
    </row>
    <row r="26" spans="1:16" x14ac:dyDescent="0.25">
      <c r="A26" s="108" t="s">
        <v>140</v>
      </c>
      <c r="B26" s="94" t="s">
        <v>123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N26" s="406">
        <f t="shared" si="1"/>
        <v>0</v>
      </c>
      <c r="O26" s="406"/>
      <c r="P26" s="410">
        <f t="shared" si="0"/>
        <v>0</v>
      </c>
    </row>
    <row r="27" spans="1:16" x14ac:dyDescent="0.25">
      <c r="A27" s="108" t="s">
        <v>141</v>
      </c>
      <c r="B27" s="94" t="s">
        <v>123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N27" s="406">
        <f t="shared" si="1"/>
        <v>0</v>
      </c>
      <c r="O27" s="406"/>
      <c r="P27" s="410">
        <f t="shared" si="0"/>
        <v>0</v>
      </c>
    </row>
    <row r="28" spans="1:16" x14ac:dyDescent="0.25">
      <c r="A28" s="108" t="s">
        <v>142</v>
      </c>
      <c r="B28" s="94" t="s">
        <v>123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N28" s="406">
        <f t="shared" si="1"/>
        <v>0</v>
      </c>
      <c r="O28" s="406"/>
      <c r="P28" s="410">
        <f t="shared" si="0"/>
        <v>0</v>
      </c>
    </row>
    <row r="29" spans="1:16" x14ac:dyDescent="0.25">
      <c r="A29" s="106" t="s">
        <v>143</v>
      </c>
      <c r="B29" s="94" t="s">
        <v>123</v>
      </c>
      <c r="C29" s="98">
        <f>SUM(C30:C31)</f>
        <v>0</v>
      </c>
      <c r="D29" s="98">
        <f t="shared" ref="D29:L29" si="3">SUM(D30:D31)</f>
        <v>0</v>
      </c>
      <c r="E29" s="98">
        <f t="shared" si="3"/>
        <v>0</v>
      </c>
      <c r="F29" s="98">
        <f t="shared" si="3"/>
        <v>0</v>
      </c>
      <c r="G29" s="98">
        <f t="shared" si="3"/>
        <v>0</v>
      </c>
      <c r="H29" s="98">
        <f t="shared" si="3"/>
        <v>0</v>
      </c>
      <c r="I29" s="98">
        <f t="shared" si="3"/>
        <v>0</v>
      </c>
      <c r="J29" s="98">
        <f t="shared" si="3"/>
        <v>0</v>
      </c>
      <c r="K29" s="98">
        <f t="shared" si="3"/>
        <v>0</v>
      </c>
      <c r="L29" s="98">
        <f t="shared" si="3"/>
        <v>0</v>
      </c>
      <c r="N29" s="406">
        <f t="shared" si="1"/>
        <v>0</v>
      </c>
      <c r="O29" s="406"/>
      <c r="P29" s="410">
        <f t="shared" si="0"/>
        <v>0</v>
      </c>
    </row>
    <row r="30" spans="1:16" x14ac:dyDescent="0.25">
      <c r="A30" s="108" t="s">
        <v>140</v>
      </c>
      <c r="B30" s="94" t="s">
        <v>123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N30" s="406">
        <f t="shared" si="1"/>
        <v>0</v>
      </c>
      <c r="O30" s="406"/>
      <c r="P30" s="410">
        <f t="shared" si="0"/>
        <v>0</v>
      </c>
    </row>
    <row r="31" spans="1:16" x14ac:dyDescent="0.25">
      <c r="A31" s="108" t="s">
        <v>141</v>
      </c>
      <c r="B31" s="94" t="s">
        <v>123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N31" s="406">
        <f t="shared" si="1"/>
        <v>0</v>
      </c>
      <c r="O31" s="406"/>
      <c r="P31" s="410">
        <f t="shared" si="0"/>
        <v>0</v>
      </c>
    </row>
    <row r="32" spans="1:16" x14ac:dyDescent="0.25">
      <c r="A32" s="106" t="s">
        <v>144</v>
      </c>
      <c r="B32" s="94" t="s">
        <v>123</v>
      </c>
      <c r="C32" s="98">
        <f>SUM(C33:C34)</f>
        <v>0</v>
      </c>
      <c r="D32" s="98">
        <f t="shared" ref="D32:L32" si="4">SUM(D33:D34)</f>
        <v>0</v>
      </c>
      <c r="E32" s="98">
        <f t="shared" si="4"/>
        <v>0</v>
      </c>
      <c r="F32" s="98">
        <f t="shared" si="4"/>
        <v>0</v>
      </c>
      <c r="G32" s="98">
        <f t="shared" si="4"/>
        <v>0</v>
      </c>
      <c r="H32" s="98">
        <f t="shared" si="4"/>
        <v>0</v>
      </c>
      <c r="I32" s="98">
        <f t="shared" si="4"/>
        <v>0</v>
      </c>
      <c r="J32" s="98">
        <f t="shared" si="4"/>
        <v>0</v>
      </c>
      <c r="K32" s="98">
        <f t="shared" si="4"/>
        <v>0</v>
      </c>
      <c r="L32" s="98">
        <f t="shared" si="4"/>
        <v>0</v>
      </c>
      <c r="N32" s="406">
        <f t="shared" si="1"/>
        <v>0</v>
      </c>
      <c r="O32" s="406"/>
      <c r="P32" s="410">
        <f t="shared" si="0"/>
        <v>0</v>
      </c>
    </row>
    <row r="33" spans="1:16" x14ac:dyDescent="0.25">
      <c r="A33" s="108" t="s">
        <v>140</v>
      </c>
      <c r="B33" s="94" t="s">
        <v>123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N33" s="406">
        <f t="shared" si="1"/>
        <v>0</v>
      </c>
      <c r="O33" s="406"/>
      <c r="P33" s="410">
        <f t="shared" si="0"/>
        <v>0</v>
      </c>
    </row>
    <row r="34" spans="1:16" x14ac:dyDescent="0.25">
      <c r="A34" s="108" t="s">
        <v>141</v>
      </c>
      <c r="B34" s="94" t="s">
        <v>123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N34" s="406">
        <f t="shared" si="1"/>
        <v>0</v>
      </c>
      <c r="O34" s="406"/>
      <c r="P34" s="410">
        <f t="shared" si="0"/>
        <v>0</v>
      </c>
    </row>
    <row r="35" spans="1:16" x14ac:dyDescent="0.25">
      <c r="A35" s="107" t="s">
        <v>145</v>
      </c>
      <c r="B35" s="94" t="s">
        <v>123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N35" s="406">
        <f t="shared" si="1"/>
        <v>0</v>
      </c>
      <c r="O35" s="406"/>
      <c r="P35" s="410">
        <f t="shared" si="0"/>
        <v>0</v>
      </c>
    </row>
    <row r="36" spans="1:16" x14ac:dyDescent="0.25">
      <c r="A36" s="106" t="s">
        <v>146</v>
      </c>
      <c r="B36" s="94" t="s">
        <v>123</v>
      </c>
      <c r="C36" s="109">
        <f>SUM(C37:C39)</f>
        <v>0</v>
      </c>
      <c r="D36" s="109">
        <f t="shared" ref="D36:L36" si="5">SUM(D37:D39)</f>
        <v>0</v>
      </c>
      <c r="E36" s="109">
        <f t="shared" si="5"/>
        <v>0</v>
      </c>
      <c r="F36" s="109">
        <f t="shared" si="5"/>
        <v>0</v>
      </c>
      <c r="G36" s="109">
        <f t="shared" si="5"/>
        <v>0</v>
      </c>
      <c r="H36" s="109">
        <f t="shared" si="5"/>
        <v>0</v>
      </c>
      <c r="I36" s="109">
        <f t="shared" si="5"/>
        <v>0</v>
      </c>
      <c r="J36" s="109">
        <f t="shared" si="5"/>
        <v>0</v>
      </c>
      <c r="K36" s="109">
        <f t="shared" si="5"/>
        <v>0</v>
      </c>
      <c r="L36" s="109">
        <f t="shared" si="5"/>
        <v>0</v>
      </c>
      <c r="N36" s="406">
        <f t="shared" si="1"/>
        <v>0</v>
      </c>
      <c r="O36" s="406">
        <f>SUM(O37:O39)</f>
        <v>0</v>
      </c>
      <c r="P36" s="410">
        <f t="shared" si="0"/>
        <v>0</v>
      </c>
    </row>
    <row r="37" spans="1:16" x14ac:dyDescent="0.25">
      <c r="A37" s="108" t="s">
        <v>140</v>
      </c>
      <c r="B37" s="94" t="s">
        <v>123</v>
      </c>
      <c r="C37" s="109">
        <f>IF(Предпосылки!$G$207="Федерация",'Доходы и расходы'!E206,0)+IF(Предпосылки!$G$218="Федерация",'Доходы и расходы'!E219,0)+IF(Предпосылки!$G$229="Федерация",'Доходы и расходы'!E232,0)</f>
        <v>0</v>
      </c>
      <c r="D37" s="109">
        <f>IF(Предпосылки!$G$207="Федерация",'Доходы и расходы'!F206,0)+IF(Предпосылки!$G$218="Федерация",'Доходы и расходы'!F219,0)+IF(Предпосылки!$G$229="Федерация",'Доходы и расходы'!F232,0)</f>
        <v>0</v>
      </c>
      <c r="E37" s="109">
        <f>IF(Предпосылки!$G$207="Федерация",'Доходы и расходы'!G206,0)+IF(Предпосылки!$G$218="Федерация",'Доходы и расходы'!G219,0)+IF(Предпосылки!$G$229="Федерация",'Доходы и расходы'!G232,0)</f>
        <v>0</v>
      </c>
      <c r="F37" s="109">
        <f>IF(Предпосылки!$G$207="Федерация",'Доходы и расходы'!H206,0)+IF(Предпосылки!$G$218="Федерация",'Доходы и расходы'!H219,0)+IF(Предпосылки!$G$229="Федерация",'Доходы и расходы'!H232,0)</f>
        <v>0</v>
      </c>
      <c r="G37" s="109">
        <f>IF(Предпосылки!$G$207="Федерация",'Доходы и расходы'!I206,0)+IF(Предпосылки!$G$218="Федерация",'Доходы и расходы'!I219,0)+IF(Предпосылки!$G$229="Федерация",'Доходы и расходы'!I232,0)</f>
        <v>0</v>
      </c>
      <c r="H37" s="109">
        <f>IF(Предпосылки!$G$207="Федерация",'Доходы и расходы'!J206,0)+IF(Предпосылки!$G$218="Федерация",'Доходы и расходы'!J219,0)+IF(Предпосылки!$G$229="Федерация",'Доходы и расходы'!J232,0)</f>
        <v>0</v>
      </c>
      <c r="I37" s="109">
        <f>IF(Предпосылки!$G$207="Федерация",'Доходы и расходы'!K206,0)+IF(Предпосылки!$G$218="Федерация",'Доходы и расходы'!K219,0)+IF(Предпосылки!$G$229="Федерация",'Доходы и расходы'!K232,0)</f>
        <v>0</v>
      </c>
      <c r="J37" s="109">
        <f>IF(Предпосылки!$G$207="Федерация",'Доходы и расходы'!L206,0)+IF(Предпосылки!$G$218="Федерация",'Доходы и расходы'!L219,0)+IF(Предпосылки!$G$229="Федерация",'Доходы и расходы'!L232,0)</f>
        <v>0</v>
      </c>
      <c r="K37" s="109">
        <f>IF(Предпосылки!$G$207="Федерация",'Доходы и расходы'!M206,0)+IF(Предпосылки!$G$218="Федерация",'Доходы и расходы'!M219,0)+IF(Предпосылки!$G$229="Федерация",'Доходы и расходы'!M232,0)</f>
        <v>0</v>
      </c>
      <c r="L37" s="109">
        <f>IF(Предпосылки!$G$207="Федерация",'Доходы и расходы'!N206,0)+IF(Предпосылки!$G$218="Федерация",'Доходы и расходы'!N219,0)+IF(Предпосылки!$G$229="Федерация",'Доходы и расходы'!N232,0)</f>
        <v>0</v>
      </c>
      <c r="N37" s="406">
        <f t="shared" si="1"/>
        <v>0</v>
      </c>
      <c r="O37" s="406">
        <f>IF(Предпосылки!$G$207="Федерация",SUM('Доходы и расходы'!E206:N206),0)+IF(Предпосылки!$G$218="Федерация",SUM('Доходы и расходы'!E219:N219),0)+IF(Предпосылки!$G$229="Федерация",SUM('Доходы и расходы'!E232:N232),0)</f>
        <v>0</v>
      </c>
      <c r="P37" s="410">
        <f t="shared" si="0"/>
        <v>0</v>
      </c>
    </row>
    <row r="38" spans="1:16" x14ac:dyDescent="0.25">
      <c r="A38" s="108" t="s">
        <v>141</v>
      </c>
      <c r="B38" s="94" t="s">
        <v>123</v>
      </c>
      <c r="C38" s="109">
        <f>IF(Предпосылки!$G$207="Регион",'Доходы и расходы'!E206,0)+IF(Предпосылки!$G$218="Регион",'Доходы и расходы'!E219,0)+IF(Предпосылки!$G$229="Регион",'Доходы и расходы'!E232,0)</f>
        <v>0</v>
      </c>
      <c r="D38" s="109">
        <f>IF(Предпосылки!$G$207="Регион",'Доходы и расходы'!F206,0)+IF(Предпосылки!$G$218="Регион",'Доходы и расходы'!F219,0)+IF(Предпосылки!$G$229="Регион",'Доходы и расходы'!F232,0)</f>
        <v>0</v>
      </c>
      <c r="E38" s="109">
        <f>IF(Предпосылки!$G$207="Регион",'Доходы и расходы'!G206,0)+IF(Предпосылки!$G$218="Регион",'Доходы и расходы'!G219,0)+IF(Предпосылки!$G$229="Регион",'Доходы и расходы'!G232,0)</f>
        <v>0</v>
      </c>
      <c r="F38" s="109">
        <f>IF(Предпосылки!$G$207="Регион",'Доходы и расходы'!H206,0)+IF(Предпосылки!$G$218="Регион",'Доходы и расходы'!H219,0)+IF(Предпосылки!$G$229="Регион",'Доходы и расходы'!H232,0)</f>
        <v>0</v>
      </c>
      <c r="G38" s="109">
        <f>IF(Предпосылки!$G$207="Регион",'Доходы и расходы'!I206,0)+IF(Предпосылки!$G$218="Регион",'Доходы и расходы'!I219,0)+IF(Предпосылки!$G$229="Регион",'Доходы и расходы'!I232,0)</f>
        <v>0</v>
      </c>
      <c r="H38" s="109">
        <f>IF(Предпосылки!$G$207="Регион",'Доходы и расходы'!J206,0)+IF(Предпосылки!$G$218="Регион",'Доходы и расходы'!J219,0)+IF(Предпосылки!$G$229="Регион",'Доходы и расходы'!J232,0)</f>
        <v>0</v>
      </c>
      <c r="I38" s="109">
        <f>IF(Предпосылки!$G$207="Регион",'Доходы и расходы'!K206,0)+IF(Предпосылки!$G$218="Регион",'Доходы и расходы'!K219,0)+IF(Предпосылки!$G$229="Регион",'Доходы и расходы'!K232,0)</f>
        <v>0</v>
      </c>
      <c r="J38" s="109">
        <f>IF(Предпосылки!$G$207="Регион",'Доходы и расходы'!L206,0)+IF(Предпосылки!$G$218="Регион",'Доходы и расходы'!L219,0)+IF(Предпосылки!$G$229="Регион",'Доходы и расходы'!L232,0)</f>
        <v>0</v>
      </c>
      <c r="K38" s="109">
        <f>IF(Предпосылки!$G$207="Регион",'Доходы и расходы'!M206,0)+IF(Предпосылки!$G$218="Регион",'Доходы и расходы'!M219,0)+IF(Предпосылки!$G$229="Регион",'Доходы и расходы'!M232,0)</f>
        <v>0</v>
      </c>
      <c r="L38" s="109">
        <f>IF(Предпосылки!$G$207="Регион",'Доходы и расходы'!N206,0)+IF(Предпосылки!$G$218="Регион",'Доходы и расходы'!N219,0)+IF(Предпосылки!$G$229="Регион",'Доходы и расходы'!N232,0)</f>
        <v>0</v>
      </c>
      <c r="N38" s="406">
        <f t="shared" si="1"/>
        <v>0</v>
      </c>
      <c r="O38" s="406">
        <f>IF(Предпосылки!$G$207="Регион",SUM('Доходы и расходы'!E206:N206),0)+IF(Предпосылки!$G$218="Регион",SUM('Доходы и расходы'!E219:N219),0)+IF(Предпосылки!$G$229="Регион",SUM('Доходы и расходы'!E232:N232),0)</f>
        <v>0</v>
      </c>
      <c r="P38" s="410">
        <f t="shared" si="0"/>
        <v>0</v>
      </c>
    </row>
    <row r="39" spans="1:16" x14ac:dyDescent="0.25">
      <c r="A39" s="108" t="s">
        <v>142</v>
      </c>
      <c r="B39" s="94" t="s">
        <v>123</v>
      </c>
      <c r="C39" s="109">
        <f>IF(Предпосылки!$G$207="Муниципалитет",'Доходы и расходы'!E206,0)+IF(Предпосылки!$G$218="Муниципалитет",'Доходы и расходы'!E219,0)+IF(Предпосылки!$G$229="Муниципалитет",'Доходы и расходы'!E232,0)</f>
        <v>0</v>
      </c>
      <c r="D39" s="109">
        <f>IF(Предпосылки!$G$207="Муниципалитет",'Доходы и расходы'!F206,0)+IF(Предпосылки!$G$218="Муниципалитет",'Доходы и расходы'!F219,0)+IF(Предпосылки!$G$229="Муниципалитет",'Доходы и расходы'!F232,0)</f>
        <v>0</v>
      </c>
      <c r="E39" s="109">
        <f>IF(Предпосылки!$G$207="Муниципалитет",'Доходы и расходы'!G206,0)+IF(Предпосылки!$G$218="Муниципалитет",'Доходы и расходы'!G219,0)+IF(Предпосылки!$G$229="Муниципалитет",'Доходы и расходы'!G232,0)</f>
        <v>0</v>
      </c>
      <c r="F39" s="109">
        <f>IF(Предпосылки!$G$207="Муниципалитет",'Доходы и расходы'!H206,0)+IF(Предпосылки!$G$218="Муниципалитет",'Доходы и расходы'!H219,0)+IF(Предпосылки!$G$229="Муниципалитет",'Доходы и расходы'!H232,0)</f>
        <v>0</v>
      </c>
      <c r="G39" s="109">
        <f>IF(Предпосылки!$G$207="Муниципалитет",'Доходы и расходы'!I206,0)+IF(Предпосылки!$G$218="Муниципалитет",'Доходы и расходы'!I219,0)+IF(Предпосылки!$G$229="Муниципалитет",'Доходы и расходы'!I232,0)</f>
        <v>0</v>
      </c>
      <c r="H39" s="109">
        <f>IF(Предпосылки!$G$207="Муниципалитет",'Доходы и расходы'!J206,0)+IF(Предпосылки!$G$218="Муниципалитет",'Доходы и расходы'!J219,0)+IF(Предпосылки!$G$229="Муниципалитет",'Доходы и расходы'!J232,0)</f>
        <v>0</v>
      </c>
      <c r="I39" s="109">
        <f>IF(Предпосылки!$G$207="Муниципалитет",'Доходы и расходы'!K206,0)+IF(Предпосылки!$G$218="Муниципалитет",'Доходы и расходы'!K219,0)+IF(Предпосылки!$G$229="Муниципалитет",'Доходы и расходы'!K232,0)</f>
        <v>0</v>
      </c>
      <c r="J39" s="109">
        <f>IF(Предпосылки!$G$207="Муниципалитет",'Доходы и расходы'!L206,0)+IF(Предпосылки!$G$218="Муниципалитет",'Доходы и расходы'!L219,0)+IF(Предпосылки!$G$229="Муниципалитет",'Доходы и расходы'!L232,0)</f>
        <v>0</v>
      </c>
      <c r="K39" s="109">
        <f>IF(Предпосылки!$G$207="Муниципалитет",'Доходы и расходы'!M206,0)+IF(Предпосылки!$G$218="Муниципалитет",'Доходы и расходы'!M219,0)+IF(Предпосылки!$G$229="Муниципалитет",'Доходы и расходы'!M232,0)</f>
        <v>0</v>
      </c>
      <c r="L39" s="109">
        <f>IF(Предпосылки!$G$207="Муниципалитет",'Доходы и расходы'!N206,0)+IF(Предпосылки!$G$218="Муниципалитет",'Доходы и расходы'!N219,0)+IF(Предпосылки!$G$229="Муниципалитет",'Доходы и расходы'!N232,0)</f>
        <v>0</v>
      </c>
      <c r="N39" s="406">
        <f t="shared" si="1"/>
        <v>0</v>
      </c>
      <c r="O39" s="406">
        <f>IF(Предпосылки!$G$207="Муниципалитет",SUM('Доходы и расходы'!E206:N206),0)+IF(Предпосылки!$G$218="Муниципалитет",SUM('Доходы и расходы'!E219:N219),0)+IF(Предпосылки!$G$229="Муниципалитет",SUM('Доходы и расходы'!E232:N232),0)</f>
        <v>0</v>
      </c>
      <c r="P39" s="410">
        <f t="shared" si="0"/>
        <v>0</v>
      </c>
    </row>
    <row r="40" spans="1:16" x14ac:dyDescent="0.25">
      <c r="A40" s="106" t="s">
        <v>147</v>
      </c>
      <c r="B40" s="110" t="s">
        <v>123</v>
      </c>
      <c r="C40" s="111">
        <f>SUM(C41:C43)</f>
        <v>0</v>
      </c>
      <c r="D40" s="111">
        <f t="shared" ref="D40:L40" si="6">SUM(D41:D43)</f>
        <v>0</v>
      </c>
      <c r="E40" s="111">
        <f t="shared" si="6"/>
        <v>0</v>
      </c>
      <c r="F40" s="111">
        <f t="shared" si="6"/>
        <v>0</v>
      </c>
      <c r="G40" s="111">
        <f t="shared" si="6"/>
        <v>0</v>
      </c>
      <c r="H40" s="111">
        <f t="shared" si="6"/>
        <v>0</v>
      </c>
      <c r="I40" s="111">
        <f t="shared" si="6"/>
        <v>0</v>
      </c>
      <c r="J40" s="111">
        <f t="shared" si="6"/>
        <v>0</v>
      </c>
      <c r="K40" s="111">
        <f t="shared" si="6"/>
        <v>0</v>
      </c>
      <c r="L40" s="111">
        <f t="shared" si="6"/>
        <v>0</v>
      </c>
      <c r="M40" s="112"/>
      <c r="N40" s="406">
        <f t="shared" si="1"/>
        <v>0</v>
      </c>
      <c r="O40" s="406"/>
      <c r="P40" s="410">
        <f t="shared" si="0"/>
        <v>0</v>
      </c>
    </row>
    <row r="41" spans="1:16" x14ac:dyDescent="0.25">
      <c r="A41" s="108" t="s">
        <v>140</v>
      </c>
      <c r="B41" s="110" t="s">
        <v>123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3"/>
      <c r="N41" s="406">
        <f t="shared" si="1"/>
        <v>0</v>
      </c>
      <c r="O41" s="406"/>
      <c r="P41" s="410">
        <f t="shared" si="0"/>
        <v>0</v>
      </c>
    </row>
    <row r="42" spans="1:16" x14ac:dyDescent="0.25">
      <c r="A42" s="108" t="s">
        <v>141</v>
      </c>
      <c r="B42" s="110" t="s">
        <v>123</v>
      </c>
      <c r="C42" s="111">
        <v>0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3"/>
      <c r="N42" s="406">
        <f t="shared" si="1"/>
        <v>0</v>
      </c>
      <c r="O42" s="406"/>
      <c r="P42" s="410">
        <f t="shared" si="0"/>
        <v>0</v>
      </c>
    </row>
    <row r="43" spans="1:16" x14ac:dyDescent="0.25">
      <c r="A43" s="108" t="s">
        <v>142</v>
      </c>
      <c r="B43" s="110" t="s">
        <v>123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3"/>
      <c r="N43" s="406">
        <f t="shared" si="1"/>
        <v>0</v>
      </c>
      <c r="O43" s="406"/>
      <c r="P43" s="410">
        <f t="shared" si="0"/>
        <v>0</v>
      </c>
    </row>
    <row r="44" spans="1:16" x14ac:dyDescent="0.25">
      <c r="A44" s="107" t="s">
        <v>358</v>
      </c>
      <c r="B44" s="110" t="s">
        <v>123</v>
      </c>
      <c r="C44" s="111">
        <f>SUM(C45:C47)</f>
        <v>0</v>
      </c>
      <c r="D44" s="111">
        <f t="shared" ref="D44:L44" si="7">SUM(D45:D47)</f>
        <v>0</v>
      </c>
      <c r="E44" s="111">
        <f t="shared" si="7"/>
        <v>0</v>
      </c>
      <c r="F44" s="111">
        <f t="shared" si="7"/>
        <v>0</v>
      </c>
      <c r="G44" s="111">
        <f t="shared" si="7"/>
        <v>0</v>
      </c>
      <c r="H44" s="111">
        <f t="shared" si="7"/>
        <v>0</v>
      </c>
      <c r="I44" s="111">
        <f t="shared" si="7"/>
        <v>0</v>
      </c>
      <c r="J44" s="111">
        <f t="shared" si="7"/>
        <v>0</v>
      </c>
      <c r="K44" s="111">
        <f t="shared" si="7"/>
        <v>0</v>
      </c>
      <c r="L44" s="111">
        <f t="shared" si="7"/>
        <v>0</v>
      </c>
      <c r="M44" s="113"/>
      <c r="N44" s="406">
        <f t="shared" si="1"/>
        <v>0</v>
      </c>
      <c r="O44" s="406"/>
      <c r="P44" s="410">
        <f t="shared" si="0"/>
        <v>0</v>
      </c>
    </row>
    <row r="45" spans="1:16" x14ac:dyDescent="0.25">
      <c r="A45" s="108" t="s">
        <v>140</v>
      </c>
      <c r="B45" s="110" t="s">
        <v>123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3"/>
      <c r="N45" s="406">
        <f t="shared" si="1"/>
        <v>0</v>
      </c>
      <c r="O45" s="406"/>
      <c r="P45" s="410">
        <f t="shared" si="0"/>
        <v>0</v>
      </c>
    </row>
    <row r="46" spans="1:16" x14ac:dyDescent="0.25">
      <c r="A46" s="108" t="s">
        <v>141</v>
      </c>
      <c r="B46" s="110" t="s">
        <v>123</v>
      </c>
      <c r="C46" s="111">
        <v>0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3"/>
      <c r="N46" s="406">
        <f t="shared" si="1"/>
        <v>0</v>
      </c>
      <c r="O46" s="406"/>
      <c r="P46" s="410">
        <f t="shared" si="0"/>
        <v>0</v>
      </c>
    </row>
    <row r="47" spans="1:16" x14ac:dyDescent="0.25">
      <c r="A47" s="108" t="s">
        <v>142</v>
      </c>
      <c r="B47" s="110" t="s">
        <v>123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3"/>
      <c r="N47" s="406">
        <f t="shared" si="1"/>
        <v>0</v>
      </c>
      <c r="O47" s="406"/>
      <c r="P47" s="410">
        <f t="shared" si="0"/>
        <v>0</v>
      </c>
    </row>
    <row r="48" spans="1:16" x14ac:dyDescent="0.25">
      <c r="A48" s="106" t="s">
        <v>148</v>
      </c>
      <c r="B48" s="110" t="s">
        <v>123</v>
      </c>
      <c r="C48" s="111">
        <f>SUM(C49:C51)</f>
        <v>0</v>
      </c>
      <c r="D48" s="111">
        <f t="shared" ref="D48:L48" si="8">SUM(D49:D51)</f>
        <v>0</v>
      </c>
      <c r="E48" s="111">
        <f t="shared" si="8"/>
        <v>0</v>
      </c>
      <c r="F48" s="111">
        <f t="shared" si="8"/>
        <v>0</v>
      </c>
      <c r="G48" s="111">
        <f t="shared" si="8"/>
        <v>0</v>
      </c>
      <c r="H48" s="111">
        <f t="shared" si="8"/>
        <v>0</v>
      </c>
      <c r="I48" s="111">
        <f t="shared" si="8"/>
        <v>0</v>
      </c>
      <c r="J48" s="111">
        <f t="shared" si="8"/>
        <v>0</v>
      </c>
      <c r="K48" s="111">
        <f t="shared" si="8"/>
        <v>0</v>
      </c>
      <c r="L48" s="111">
        <f t="shared" si="8"/>
        <v>0</v>
      </c>
      <c r="M48" s="113"/>
      <c r="N48" s="406">
        <f t="shared" si="1"/>
        <v>0</v>
      </c>
      <c r="O48" s="406"/>
      <c r="P48" s="410">
        <f t="shared" si="0"/>
        <v>0</v>
      </c>
    </row>
    <row r="49" spans="1:16" x14ac:dyDescent="0.25">
      <c r="A49" s="108" t="s">
        <v>140</v>
      </c>
      <c r="B49" s="110" t="s">
        <v>123</v>
      </c>
      <c r="C49" s="111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3"/>
      <c r="N49" s="406">
        <f t="shared" si="1"/>
        <v>0</v>
      </c>
      <c r="O49" s="406"/>
      <c r="P49" s="410">
        <f t="shared" si="0"/>
        <v>0</v>
      </c>
    </row>
    <row r="50" spans="1:16" x14ac:dyDescent="0.25">
      <c r="A50" s="108" t="s">
        <v>141</v>
      </c>
      <c r="B50" s="110" t="s">
        <v>123</v>
      </c>
      <c r="C50" s="111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3"/>
      <c r="N50" s="406">
        <f t="shared" si="1"/>
        <v>0</v>
      </c>
      <c r="O50" s="406"/>
      <c r="P50" s="410">
        <f t="shared" si="0"/>
        <v>0</v>
      </c>
    </row>
    <row r="51" spans="1:16" x14ac:dyDescent="0.25">
      <c r="A51" s="108" t="s">
        <v>142</v>
      </c>
      <c r="B51" s="110" t="s">
        <v>123</v>
      </c>
      <c r="C51" s="111">
        <v>0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3"/>
      <c r="N51" s="406">
        <f t="shared" si="1"/>
        <v>0</v>
      </c>
      <c r="O51" s="406"/>
      <c r="P51" s="410">
        <f t="shared" si="0"/>
        <v>0</v>
      </c>
    </row>
    <row r="52" spans="1:16" ht="30" x14ac:dyDescent="0.25">
      <c r="A52" s="106" t="s">
        <v>149</v>
      </c>
      <c r="B52" s="110" t="s">
        <v>123</v>
      </c>
      <c r="C52" s="111">
        <f>SUM(C53:C55)</f>
        <v>0</v>
      </c>
      <c r="D52" s="111">
        <f t="shared" ref="D52:L52" si="9">SUM(D53:D55)</f>
        <v>0</v>
      </c>
      <c r="E52" s="111">
        <f t="shared" si="9"/>
        <v>0</v>
      </c>
      <c r="F52" s="111">
        <f t="shared" si="9"/>
        <v>0</v>
      </c>
      <c r="G52" s="111">
        <f t="shared" si="9"/>
        <v>0</v>
      </c>
      <c r="H52" s="111">
        <f t="shared" si="9"/>
        <v>0</v>
      </c>
      <c r="I52" s="111">
        <f t="shared" si="9"/>
        <v>0</v>
      </c>
      <c r="J52" s="111">
        <f t="shared" si="9"/>
        <v>0</v>
      </c>
      <c r="K52" s="111">
        <f t="shared" si="9"/>
        <v>0</v>
      </c>
      <c r="L52" s="111">
        <f t="shared" si="9"/>
        <v>0</v>
      </c>
      <c r="M52" s="113"/>
      <c r="N52" s="406">
        <f t="shared" si="1"/>
        <v>0</v>
      </c>
      <c r="O52" s="406"/>
      <c r="P52" s="410">
        <f t="shared" si="0"/>
        <v>0</v>
      </c>
    </row>
    <row r="53" spans="1:16" x14ac:dyDescent="0.25">
      <c r="A53" s="108" t="s">
        <v>140</v>
      </c>
      <c r="B53" s="110" t="s">
        <v>123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3"/>
      <c r="N53" s="406">
        <f t="shared" si="1"/>
        <v>0</v>
      </c>
      <c r="O53" s="406"/>
      <c r="P53" s="410">
        <f t="shared" si="0"/>
        <v>0</v>
      </c>
    </row>
    <row r="54" spans="1:16" x14ac:dyDescent="0.25">
      <c r="A54" s="108" t="s">
        <v>141</v>
      </c>
      <c r="B54" s="110" t="s">
        <v>123</v>
      </c>
      <c r="C54" s="111">
        <v>0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3"/>
      <c r="N54" s="406">
        <f t="shared" si="1"/>
        <v>0</v>
      </c>
      <c r="O54" s="406"/>
      <c r="P54" s="410">
        <f t="shared" si="0"/>
        <v>0</v>
      </c>
    </row>
    <row r="55" spans="1:16" x14ac:dyDescent="0.25">
      <c r="A55" s="108" t="s">
        <v>142</v>
      </c>
      <c r="B55" s="110" t="s">
        <v>123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3"/>
      <c r="N55" s="406">
        <f t="shared" si="1"/>
        <v>0</v>
      </c>
      <c r="O55" s="406"/>
      <c r="P55" s="410">
        <f t="shared" si="0"/>
        <v>0</v>
      </c>
    </row>
    <row r="56" spans="1:16" x14ac:dyDescent="0.25">
      <c r="A56" s="107" t="s">
        <v>359</v>
      </c>
      <c r="B56" s="110" t="s">
        <v>123</v>
      </c>
      <c r="C56" s="111">
        <f>SUM(C57:C59)</f>
        <v>0</v>
      </c>
      <c r="D56" s="111">
        <f t="shared" ref="D56:L56" si="10">SUM(D57:D59)</f>
        <v>0</v>
      </c>
      <c r="E56" s="111">
        <f t="shared" si="10"/>
        <v>0</v>
      </c>
      <c r="F56" s="111">
        <f t="shared" si="10"/>
        <v>0</v>
      </c>
      <c r="G56" s="111">
        <f t="shared" si="10"/>
        <v>0</v>
      </c>
      <c r="H56" s="111">
        <f t="shared" si="10"/>
        <v>0</v>
      </c>
      <c r="I56" s="111">
        <f t="shared" si="10"/>
        <v>0</v>
      </c>
      <c r="J56" s="111">
        <f t="shared" si="10"/>
        <v>0</v>
      </c>
      <c r="K56" s="111">
        <f t="shared" si="10"/>
        <v>0</v>
      </c>
      <c r="L56" s="111">
        <f t="shared" si="10"/>
        <v>0</v>
      </c>
      <c r="M56" s="113"/>
      <c r="N56" s="406">
        <f t="shared" si="1"/>
        <v>0</v>
      </c>
      <c r="O56" s="406"/>
      <c r="P56" s="410">
        <f t="shared" si="0"/>
        <v>0</v>
      </c>
    </row>
    <row r="57" spans="1:16" x14ac:dyDescent="0.25">
      <c r="A57" s="108" t="s">
        <v>140</v>
      </c>
      <c r="B57" s="110" t="s">
        <v>123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3"/>
      <c r="N57" s="406">
        <f t="shared" si="1"/>
        <v>0</v>
      </c>
      <c r="O57" s="406"/>
      <c r="P57" s="410">
        <f t="shared" si="0"/>
        <v>0</v>
      </c>
    </row>
    <row r="58" spans="1:16" x14ac:dyDescent="0.25">
      <c r="A58" s="108" t="s">
        <v>141</v>
      </c>
      <c r="B58" s="110" t="s">
        <v>123</v>
      </c>
      <c r="C58" s="111">
        <v>0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3"/>
      <c r="N58" s="406">
        <f t="shared" si="1"/>
        <v>0</v>
      </c>
      <c r="O58" s="406"/>
      <c r="P58" s="410">
        <f t="shared" si="0"/>
        <v>0</v>
      </c>
    </row>
    <row r="59" spans="1:16" x14ac:dyDescent="0.25">
      <c r="A59" s="108" t="s">
        <v>142</v>
      </c>
      <c r="B59" s="110" t="s">
        <v>123</v>
      </c>
      <c r="C59" s="111">
        <v>0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3"/>
      <c r="N59" s="406">
        <f t="shared" si="1"/>
        <v>0</v>
      </c>
      <c r="O59" s="406"/>
      <c r="P59" s="410">
        <f t="shared" si="0"/>
        <v>0</v>
      </c>
    </row>
    <row r="60" spans="1:16" x14ac:dyDescent="0.25">
      <c r="A60" s="107" t="s">
        <v>503</v>
      </c>
      <c r="B60" s="110" t="s">
        <v>123</v>
      </c>
      <c r="C60" s="111">
        <f>SUM(C62:C64)</f>
        <v>0</v>
      </c>
      <c r="D60" s="111">
        <f t="shared" ref="D60:L60" si="11">SUM(D62:D64)</f>
        <v>0</v>
      </c>
      <c r="E60" s="111">
        <f t="shared" si="11"/>
        <v>0</v>
      </c>
      <c r="F60" s="111">
        <f t="shared" si="11"/>
        <v>0</v>
      </c>
      <c r="G60" s="111">
        <f t="shared" si="11"/>
        <v>0</v>
      </c>
      <c r="H60" s="111">
        <f t="shared" si="11"/>
        <v>0</v>
      </c>
      <c r="I60" s="111">
        <f t="shared" si="11"/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3"/>
      <c r="N60" s="406"/>
      <c r="O60" s="406"/>
      <c r="P60" s="410"/>
    </row>
    <row r="61" spans="1:16" x14ac:dyDescent="0.25">
      <c r="A61" s="107" t="s">
        <v>504</v>
      </c>
      <c r="B61" s="110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3"/>
      <c r="N61" s="406"/>
      <c r="O61" s="406"/>
      <c r="P61" s="410"/>
    </row>
    <row r="62" spans="1:16" x14ac:dyDescent="0.25">
      <c r="A62" s="108" t="s">
        <v>140</v>
      </c>
      <c r="B62" s="110" t="s">
        <v>123</v>
      </c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11">
        <v>0</v>
      </c>
      <c r="L62" s="111">
        <v>0</v>
      </c>
      <c r="M62" s="113"/>
      <c r="N62" s="406"/>
      <c r="O62" s="406"/>
      <c r="P62" s="410"/>
    </row>
    <row r="63" spans="1:16" x14ac:dyDescent="0.25">
      <c r="A63" s="108" t="s">
        <v>141</v>
      </c>
      <c r="B63" s="110" t="s">
        <v>123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3"/>
      <c r="N63" s="406"/>
      <c r="O63" s="406"/>
      <c r="P63" s="410"/>
    </row>
    <row r="64" spans="1:16" x14ac:dyDescent="0.25">
      <c r="A64" s="108" t="s">
        <v>142</v>
      </c>
      <c r="B64" s="110" t="s">
        <v>123</v>
      </c>
      <c r="C64" s="111">
        <v>0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3"/>
      <c r="N64" s="406"/>
      <c r="O64" s="406"/>
      <c r="P64" s="410"/>
    </row>
    <row r="65" spans="1:16" x14ac:dyDescent="0.25">
      <c r="A65" s="568"/>
      <c r="B65" s="569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113"/>
      <c r="N65" s="406"/>
      <c r="O65" s="406"/>
      <c r="P65" s="410"/>
    </row>
    <row r="66" spans="1:16" x14ac:dyDescent="0.25">
      <c r="A66" s="568"/>
      <c r="B66" s="569"/>
      <c r="C66" s="570"/>
      <c r="D66" s="570"/>
      <c r="E66" s="570"/>
      <c r="F66" s="570"/>
      <c r="G66" s="570"/>
      <c r="H66" s="570"/>
      <c r="I66" s="570"/>
      <c r="J66" s="570"/>
      <c r="K66" s="570"/>
      <c r="L66" s="570"/>
      <c r="M66" s="113"/>
      <c r="N66" s="406"/>
      <c r="O66" s="406"/>
      <c r="P66" s="410"/>
    </row>
    <row r="69" spans="1:16" s="416" customFormat="1" ht="12.75" x14ac:dyDescent="0.25">
      <c r="A69" s="416" t="s">
        <v>394</v>
      </c>
      <c r="C69" s="417">
        <f>SUM(C17:C21,C23:C24,C25,C29,C32,C35,C56)</f>
        <v>222.44040000000007</v>
      </c>
      <c r="D69" s="417">
        <f t="shared" ref="D69:L69" si="12">SUM(D17:D21,D23:D24,D25,D29,D32,D35,D56)</f>
        <v>654.09271200000012</v>
      </c>
      <c r="E69" s="417">
        <f t="shared" si="12"/>
        <v>1268.6678484480003</v>
      </c>
      <c r="F69" s="417">
        <f t="shared" si="12"/>
        <v>1437.0939778235042</v>
      </c>
      <c r="G69" s="417">
        <f t="shared" si="12"/>
        <v>1494.5777369364446</v>
      </c>
      <c r="H69" s="417">
        <f t="shared" si="12"/>
        <v>1554.3608464139024</v>
      </c>
      <c r="I69" s="417">
        <f t="shared" si="12"/>
        <v>1616.5352802704585</v>
      </c>
      <c r="J69" s="417">
        <f t="shared" si="12"/>
        <v>1681.1966914812767</v>
      </c>
      <c r="K69" s="417">
        <f t="shared" si="12"/>
        <v>1748.4445591405281</v>
      </c>
      <c r="L69" s="417">
        <f t="shared" si="12"/>
        <v>1818.382341506149</v>
      </c>
      <c r="M69" s="418"/>
      <c r="N69" s="419"/>
      <c r="O69" s="420"/>
    </row>
    <row r="70" spans="1:16" s="416" customFormat="1" ht="12.75" x14ac:dyDescent="0.25">
      <c r="A70" s="416" t="s">
        <v>395</v>
      </c>
      <c r="C70" s="417">
        <f>SUM(C36,C40,C44,C48,C52)</f>
        <v>0</v>
      </c>
      <c r="D70" s="417">
        <f t="shared" ref="D70:L70" si="13">SUM(D36,D40,D44,D48,D52)</f>
        <v>0</v>
      </c>
      <c r="E70" s="417">
        <f t="shared" si="13"/>
        <v>0</v>
      </c>
      <c r="F70" s="417">
        <f t="shared" si="13"/>
        <v>0</v>
      </c>
      <c r="G70" s="417">
        <f t="shared" si="13"/>
        <v>0</v>
      </c>
      <c r="H70" s="417">
        <f t="shared" si="13"/>
        <v>0</v>
      </c>
      <c r="I70" s="417">
        <f t="shared" si="13"/>
        <v>0</v>
      </c>
      <c r="J70" s="417">
        <f t="shared" si="13"/>
        <v>0</v>
      </c>
      <c r="K70" s="417">
        <f t="shared" si="13"/>
        <v>0</v>
      </c>
      <c r="L70" s="417">
        <f t="shared" si="13"/>
        <v>0</v>
      </c>
      <c r="M70" s="418"/>
      <c r="N70" s="419"/>
      <c r="O70" s="420"/>
    </row>
    <row r="71" spans="1:16" s="397" customFormat="1" ht="12.75" x14ac:dyDescent="0.25">
      <c r="A71" s="398" t="s">
        <v>396</v>
      </c>
      <c r="B71" s="395"/>
      <c r="C71" s="399">
        <f>SUM(C69:C70)</f>
        <v>222.44040000000007</v>
      </c>
      <c r="D71" s="399">
        <f t="shared" ref="D71:L71" si="14">SUM(D69:D70)</f>
        <v>654.09271200000012</v>
      </c>
      <c r="E71" s="399">
        <f t="shared" si="14"/>
        <v>1268.6678484480003</v>
      </c>
      <c r="F71" s="399">
        <f t="shared" si="14"/>
        <v>1437.0939778235042</v>
      </c>
      <c r="G71" s="399">
        <f t="shared" si="14"/>
        <v>1494.5777369364446</v>
      </c>
      <c r="H71" s="399">
        <f t="shared" si="14"/>
        <v>1554.3608464139024</v>
      </c>
      <c r="I71" s="399">
        <f t="shared" si="14"/>
        <v>1616.5352802704585</v>
      </c>
      <c r="J71" s="399">
        <f t="shared" si="14"/>
        <v>1681.1966914812767</v>
      </c>
      <c r="K71" s="399">
        <f t="shared" si="14"/>
        <v>1748.4445591405281</v>
      </c>
      <c r="L71" s="399">
        <f t="shared" si="14"/>
        <v>1818.382341506149</v>
      </c>
      <c r="M71" s="421">
        <f>SUM(C71:L71)</f>
        <v>13495.792394020264</v>
      </c>
      <c r="N71" s="402"/>
      <c r="O71" s="396"/>
    </row>
    <row r="72" spans="1:16" s="397" customFormat="1" ht="12.75" x14ac:dyDescent="0.25">
      <c r="A72" s="400" t="s">
        <v>397</v>
      </c>
      <c r="B72" s="395"/>
      <c r="C72" s="401">
        <f t="shared" ref="C72:L72" si="15">SUM(C17:C21,C23:C24,C25,C29,C32,C36,C35,C40,C44,C48,C52,C56)</f>
        <v>222.44040000000007</v>
      </c>
      <c r="D72" s="401">
        <f t="shared" si="15"/>
        <v>654.09271200000012</v>
      </c>
      <c r="E72" s="401">
        <f t="shared" si="15"/>
        <v>1268.6678484480003</v>
      </c>
      <c r="F72" s="401">
        <f t="shared" si="15"/>
        <v>1437.0939778235042</v>
      </c>
      <c r="G72" s="401">
        <f t="shared" si="15"/>
        <v>1494.5777369364446</v>
      </c>
      <c r="H72" s="401">
        <f t="shared" si="15"/>
        <v>1554.3608464139024</v>
      </c>
      <c r="I72" s="401">
        <f t="shared" si="15"/>
        <v>1616.5352802704585</v>
      </c>
      <c r="J72" s="401">
        <f t="shared" si="15"/>
        <v>1681.1966914812767</v>
      </c>
      <c r="K72" s="401">
        <f t="shared" si="15"/>
        <v>1748.4445591405281</v>
      </c>
      <c r="L72" s="401">
        <f t="shared" si="15"/>
        <v>1818.382341506149</v>
      </c>
      <c r="M72" s="403"/>
      <c r="N72" s="402"/>
      <c r="O72" s="396"/>
    </row>
    <row r="73" spans="1:16" s="412" customFormat="1" ht="12.75" x14ac:dyDescent="0.25">
      <c r="A73" s="411" t="s">
        <v>374</v>
      </c>
      <c r="C73" s="413">
        <f>C71-C72</f>
        <v>0</v>
      </c>
      <c r="D73" s="413">
        <f t="shared" ref="D73:L73" si="16">D71-D72</f>
        <v>0</v>
      </c>
      <c r="E73" s="413">
        <f t="shared" si="16"/>
        <v>0</v>
      </c>
      <c r="F73" s="413">
        <f t="shared" si="16"/>
        <v>0</v>
      </c>
      <c r="G73" s="413">
        <f t="shared" si="16"/>
        <v>0</v>
      </c>
      <c r="H73" s="413">
        <f t="shared" si="16"/>
        <v>0</v>
      </c>
      <c r="I73" s="413">
        <f t="shared" si="16"/>
        <v>0</v>
      </c>
      <c r="J73" s="413">
        <f t="shared" si="16"/>
        <v>0</v>
      </c>
      <c r="K73" s="413">
        <f t="shared" si="16"/>
        <v>0</v>
      </c>
      <c r="L73" s="413">
        <f t="shared" si="16"/>
        <v>0</v>
      </c>
      <c r="M73" s="414"/>
      <c r="N73" s="414"/>
      <c r="O73" s="415"/>
    </row>
  </sheetData>
  <mergeCells count="7">
    <mergeCell ref="A16:L16"/>
    <mergeCell ref="A1:L1"/>
    <mergeCell ref="A2:L2"/>
    <mergeCell ref="A3:A4"/>
    <mergeCell ref="B3:B4"/>
    <mergeCell ref="C3:L3"/>
    <mergeCell ref="A6:L6"/>
  </mergeCells>
  <pageMargins left="0.15748031496062992" right="0.55000000000000004" top="0.15748031496062992" bottom="0.16" header="0.11811023622047245" footer="0.35"/>
  <pageSetup paperSize="9" scale="54" fitToWidth="0" orientation="landscape" r:id="rId1"/>
  <headerFooter>
    <oddFooter>&amp;RРуководитель ____________
М.П.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3:P38"/>
  <sheetViews>
    <sheetView topLeftCell="C1" workbookViewId="0">
      <selection activeCell="N9" sqref="N9"/>
    </sheetView>
  </sheetViews>
  <sheetFormatPr defaultColWidth="8.85546875" defaultRowHeight="15" x14ac:dyDescent="0.25"/>
  <cols>
    <col min="2" max="2" width="19.7109375" customWidth="1"/>
    <col min="3" max="3" width="22" customWidth="1"/>
    <col min="4" max="4" width="20.42578125" customWidth="1"/>
    <col min="5" max="5" width="18.140625" customWidth="1"/>
    <col min="6" max="6" width="50.85546875" customWidth="1"/>
    <col min="13" max="13" width="29.85546875" customWidth="1"/>
    <col min="14" max="15" width="27.28515625" customWidth="1"/>
  </cols>
  <sheetData>
    <row r="3" spans="2:16" ht="33" customHeight="1" thickBot="1" x14ac:dyDescent="0.3">
      <c r="B3" s="684" t="s">
        <v>442</v>
      </c>
      <c r="C3" s="685"/>
      <c r="D3" s="685" t="s">
        <v>452</v>
      </c>
      <c r="E3" s="685"/>
      <c r="M3" s="686" t="s">
        <v>551</v>
      </c>
      <c r="N3" s="686"/>
    </row>
    <row r="4" spans="2:16" ht="52.5" customHeight="1" thickBot="1" x14ac:dyDescent="0.3">
      <c r="B4" s="527"/>
      <c r="C4" s="524"/>
      <c r="D4" s="514"/>
      <c r="E4" s="514"/>
      <c r="F4" s="514" t="s">
        <v>443</v>
      </c>
      <c r="G4" s="511">
        <v>0.04</v>
      </c>
      <c r="H4" t="s">
        <v>444</v>
      </c>
      <c r="M4" s="587"/>
      <c r="N4" s="588" t="s">
        <v>552</v>
      </c>
      <c r="O4" s="588" t="s">
        <v>553</v>
      </c>
    </row>
    <row r="5" spans="2:16" ht="19.5" thickBot="1" x14ac:dyDescent="0.3">
      <c r="B5" s="509">
        <v>2017</v>
      </c>
      <c r="C5" s="526">
        <f>ROUND(C6/1.04,4)</f>
        <v>1.0028999999999999</v>
      </c>
      <c r="D5" s="509">
        <v>2017</v>
      </c>
      <c r="E5" s="529">
        <f t="shared" ref="E5:E7" si="0">E6/1.04</f>
        <v>3.4850366868281917</v>
      </c>
      <c r="M5" s="589" t="s">
        <v>518</v>
      </c>
      <c r="N5" s="590">
        <v>2521</v>
      </c>
      <c r="O5" s="590">
        <v>25</v>
      </c>
      <c r="P5">
        <f>O5*N5</f>
        <v>63025</v>
      </c>
    </row>
    <row r="6" spans="2:16" ht="19.5" thickBot="1" x14ac:dyDescent="0.3">
      <c r="B6" s="525">
        <v>2018</v>
      </c>
      <c r="C6" s="513">
        <f>ROUND(C7/1.04,4)</f>
        <v>1.0429999999999999</v>
      </c>
      <c r="D6" s="525">
        <v>2018</v>
      </c>
      <c r="E6" s="529">
        <f t="shared" si="0"/>
        <v>3.6244381543013193</v>
      </c>
      <c r="M6" s="589" t="s">
        <v>554</v>
      </c>
      <c r="N6" s="590">
        <v>8924</v>
      </c>
      <c r="O6" s="590">
        <v>19</v>
      </c>
      <c r="P6">
        <f>O6*N6</f>
        <v>169556</v>
      </c>
    </row>
    <row r="7" spans="2:16" x14ac:dyDescent="0.25">
      <c r="B7" s="509">
        <v>2019</v>
      </c>
      <c r="C7" s="513">
        <f>ROUND(C8/1.04,4)</f>
        <v>1.0847</v>
      </c>
      <c r="D7" s="509">
        <v>2019</v>
      </c>
      <c r="E7" s="529">
        <f t="shared" si="0"/>
        <v>3.7694156804733723</v>
      </c>
      <c r="M7" s="591"/>
      <c r="N7" s="593">
        <f>SUM(N5:N6)</f>
        <v>11445</v>
      </c>
      <c r="O7" s="593">
        <f>SUM(O5:O6)</f>
        <v>44</v>
      </c>
      <c r="P7">
        <f>SUM(P5:P6)</f>
        <v>232581</v>
      </c>
    </row>
    <row r="8" spans="2:16" x14ac:dyDescent="0.25">
      <c r="B8" s="509">
        <v>2020</v>
      </c>
      <c r="C8" s="513">
        <f>ROUND(C9/1.04,4)</f>
        <v>1.1281000000000001</v>
      </c>
      <c r="D8" s="509">
        <v>2020</v>
      </c>
      <c r="E8" s="529">
        <f>E9/1.04</f>
        <v>3.9201923076923073</v>
      </c>
      <c r="M8" s="592"/>
      <c r="N8">
        <f>6500/N7</f>
        <v>0.56793359545653122</v>
      </c>
    </row>
    <row r="9" spans="2:16" x14ac:dyDescent="0.25">
      <c r="B9" s="509">
        <v>2021</v>
      </c>
      <c r="C9" s="512">
        <v>1.1732</v>
      </c>
      <c r="D9" s="509">
        <v>2021</v>
      </c>
      <c r="E9" s="530">
        <v>4.077</v>
      </c>
      <c r="M9" s="592"/>
    </row>
    <row r="10" spans="2:16" x14ac:dyDescent="0.25">
      <c r="B10" s="509">
        <v>2022</v>
      </c>
      <c r="C10" s="512">
        <v>1.2201</v>
      </c>
      <c r="D10" s="509">
        <v>2022</v>
      </c>
      <c r="E10" s="529">
        <v>4.24</v>
      </c>
      <c r="M10" s="592"/>
    </row>
    <row r="11" spans="2:16" x14ac:dyDescent="0.25">
      <c r="B11" s="509">
        <v>2023</v>
      </c>
      <c r="C11" s="510">
        <f t="shared" ref="C11:C38" si="1">ROUND(C10*(1+$G$4),4)</f>
        <v>1.2688999999999999</v>
      </c>
      <c r="D11" s="509">
        <v>2023</v>
      </c>
      <c r="E11" s="528">
        <f>ROUND(E10*(1+$G$4),3)</f>
        <v>4.41</v>
      </c>
      <c r="M11" s="592" t="s">
        <v>555</v>
      </c>
      <c r="N11" t="s">
        <v>559</v>
      </c>
      <c r="O11" t="s">
        <v>560</v>
      </c>
    </row>
    <row r="12" spans="2:16" ht="42.75" x14ac:dyDescent="0.25">
      <c r="B12" s="509">
        <v>2024</v>
      </c>
      <c r="C12" s="510">
        <f t="shared" si="1"/>
        <v>1.3197000000000001</v>
      </c>
      <c r="D12" s="509">
        <v>2024</v>
      </c>
      <c r="E12" s="528">
        <f t="shared" ref="E12:E38" si="2">ROUND(E11*(1+$G$4),3)</f>
        <v>4.5860000000000003</v>
      </c>
      <c r="M12" s="592" t="s">
        <v>556</v>
      </c>
    </row>
    <row r="13" spans="2:16" ht="99.75" x14ac:dyDescent="0.25">
      <c r="B13" s="509">
        <v>2025</v>
      </c>
      <c r="C13" s="510">
        <f t="shared" si="1"/>
        <v>1.3725000000000001</v>
      </c>
      <c r="D13" s="509">
        <v>2025</v>
      </c>
      <c r="E13" s="528">
        <f t="shared" si="2"/>
        <v>4.7690000000000001</v>
      </c>
      <c r="M13" s="592" t="s">
        <v>557</v>
      </c>
    </row>
    <row r="14" spans="2:16" x14ac:dyDescent="0.25">
      <c r="B14" s="509">
        <v>2026</v>
      </c>
      <c r="C14" s="510">
        <f t="shared" si="1"/>
        <v>1.4274</v>
      </c>
      <c r="D14" s="509">
        <v>2026</v>
      </c>
      <c r="E14" s="528">
        <f t="shared" si="2"/>
        <v>4.96</v>
      </c>
      <c r="M14" s="586"/>
    </row>
    <row r="15" spans="2:16" x14ac:dyDescent="0.25">
      <c r="B15" s="509">
        <v>2027</v>
      </c>
      <c r="C15" s="510">
        <f t="shared" si="1"/>
        <v>1.4844999999999999</v>
      </c>
      <c r="D15" s="509">
        <v>2027</v>
      </c>
      <c r="E15" s="528">
        <f t="shared" si="2"/>
        <v>5.1580000000000004</v>
      </c>
      <c r="M15" s="592" t="s">
        <v>558</v>
      </c>
    </row>
    <row r="16" spans="2:16" x14ac:dyDescent="0.25">
      <c r="B16" s="509">
        <v>2028</v>
      </c>
      <c r="C16" s="510">
        <f t="shared" si="1"/>
        <v>1.5439000000000001</v>
      </c>
      <c r="D16" s="509">
        <v>2028</v>
      </c>
      <c r="E16" s="528">
        <f t="shared" si="2"/>
        <v>5.3639999999999999</v>
      </c>
    </row>
    <row r="17" spans="2:5" x14ac:dyDescent="0.25">
      <c r="B17" s="509">
        <v>2029</v>
      </c>
      <c r="C17" s="510">
        <f t="shared" si="1"/>
        <v>1.6056999999999999</v>
      </c>
      <c r="D17" s="509">
        <v>2029</v>
      </c>
      <c r="E17" s="528">
        <f t="shared" si="2"/>
        <v>5.5789999999999997</v>
      </c>
    </row>
    <row r="18" spans="2:5" x14ac:dyDescent="0.25">
      <c r="B18" s="509">
        <v>2030</v>
      </c>
      <c r="C18" s="510">
        <f t="shared" si="1"/>
        <v>1.6698999999999999</v>
      </c>
      <c r="D18" s="509">
        <v>2030</v>
      </c>
      <c r="E18" s="528">
        <f t="shared" si="2"/>
        <v>5.8019999999999996</v>
      </c>
    </row>
    <row r="19" spans="2:5" x14ac:dyDescent="0.25">
      <c r="B19" s="509">
        <v>2031</v>
      </c>
      <c r="C19" s="510">
        <f t="shared" si="1"/>
        <v>1.7366999999999999</v>
      </c>
      <c r="D19" s="509">
        <v>2031</v>
      </c>
      <c r="E19" s="528">
        <f t="shared" si="2"/>
        <v>6.0339999999999998</v>
      </c>
    </row>
    <row r="20" spans="2:5" x14ac:dyDescent="0.25">
      <c r="B20" s="509">
        <v>2032</v>
      </c>
      <c r="C20" s="510">
        <f t="shared" si="1"/>
        <v>1.8062</v>
      </c>
      <c r="D20" s="509">
        <v>2032</v>
      </c>
      <c r="E20" s="528">
        <f t="shared" si="2"/>
        <v>6.2750000000000004</v>
      </c>
    </row>
    <row r="21" spans="2:5" x14ac:dyDescent="0.25">
      <c r="B21" s="509">
        <v>2033</v>
      </c>
      <c r="C21" s="510">
        <f t="shared" si="1"/>
        <v>1.8784000000000001</v>
      </c>
      <c r="D21" s="509">
        <v>2033</v>
      </c>
      <c r="E21" s="528">
        <f t="shared" si="2"/>
        <v>6.5259999999999998</v>
      </c>
    </row>
    <row r="22" spans="2:5" x14ac:dyDescent="0.25">
      <c r="B22" s="509">
        <v>2034</v>
      </c>
      <c r="C22" s="510">
        <f t="shared" si="1"/>
        <v>1.9535</v>
      </c>
      <c r="D22" s="509">
        <v>2034</v>
      </c>
      <c r="E22" s="528">
        <f t="shared" si="2"/>
        <v>6.7869999999999999</v>
      </c>
    </row>
    <row r="23" spans="2:5" x14ac:dyDescent="0.25">
      <c r="B23" s="509">
        <v>2035</v>
      </c>
      <c r="C23" s="510">
        <f t="shared" si="1"/>
        <v>2.0316000000000001</v>
      </c>
      <c r="D23" s="509">
        <v>2035</v>
      </c>
      <c r="E23" s="528">
        <f t="shared" si="2"/>
        <v>7.0579999999999998</v>
      </c>
    </row>
    <row r="24" spans="2:5" x14ac:dyDescent="0.25">
      <c r="B24" s="509">
        <v>2036</v>
      </c>
      <c r="C24" s="510">
        <f t="shared" si="1"/>
        <v>2.1128999999999998</v>
      </c>
      <c r="D24" s="509">
        <v>2036</v>
      </c>
      <c r="E24" s="528">
        <f t="shared" si="2"/>
        <v>7.34</v>
      </c>
    </row>
    <row r="25" spans="2:5" x14ac:dyDescent="0.25">
      <c r="B25" s="509">
        <v>2037</v>
      </c>
      <c r="C25" s="510">
        <f t="shared" si="1"/>
        <v>2.1974</v>
      </c>
      <c r="D25" s="509">
        <v>2037</v>
      </c>
      <c r="E25" s="528">
        <f t="shared" si="2"/>
        <v>7.6340000000000003</v>
      </c>
    </row>
    <row r="26" spans="2:5" x14ac:dyDescent="0.25">
      <c r="B26" s="509">
        <v>2038</v>
      </c>
      <c r="C26" s="510">
        <f t="shared" si="1"/>
        <v>2.2852999999999999</v>
      </c>
      <c r="D26" s="509">
        <v>2038</v>
      </c>
      <c r="E26" s="528">
        <f t="shared" si="2"/>
        <v>7.9390000000000001</v>
      </c>
    </row>
    <row r="27" spans="2:5" x14ac:dyDescent="0.25">
      <c r="B27" s="509">
        <v>2039</v>
      </c>
      <c r="C27" s="510">
        <f t="shared" si="1"/>
        <v>2.3767</v>
      </c>
      <c r="D27" s="509">
        <v>2039</v>
      </c>
      <c r="E27" s="528">
        <f t="shared" si="2"/>
        <v>8.2569999999999997</v>
      </c>
    </row>
    <row r="28" spans="2:5" x14ac:dyDescent="0.25">
      <c r="B28" s="509">
        <v>2040</v>
      </c>
      <c r="C28" s="510">
        <f t="shared" si="1"/>
        <v>2.4718</v>
      </c>
      <c r="D28" s="509">
        <v>2040</v>
      </c>
      <c r="E28" s="528">
        <f t="shared" si="2"/>
        <v>8.5869999999999997</v>
      </c>
    </row>
    <row r="29" spans="2:5" x14ac:dyDescent="0.25">
      <c r="B29" s="509">
        <v>2041</v>
      </c>
      <c r="C29" s="510">
        <f t="shared" si="1"/>
        <v>2.5707</v>
      </c>
      <c r="D29" s="509">
        <v>2041</v>
      </c>
      <c r="E29" s="528">
        <f t="shared" si="2"/>
        <v>8.93</v>
      </c>
    </row>
    <row r="30" spans="2:5" x14ac:dyDescent="0.25">
      <c r="B30" s="509">
        <v>2042</v>
      </c>
      <c r="C30" s="510">
        <f t="shared" si="1"/>
        <v>2.6735000000000002</v>
      </c>
      <c r="D30" s="509">
        <v>2042</v>
      </c>
      <c r="E30" s="528">
        <f t="shared" si="2"/>
        <v>9.2870000000000008</v>
      </c>
    </row>
    <row r="31" spans="2:5" x14ac:dyDescent="0.25">
      <c r="B31" s="509">
        <v>2043</v>
      </c>
      <c r="C31" s="510">
        <f t="shared" si="1"/>
        <v>2.7804000000000002</v>
      </c>
      <c r="D31" s="509">
        <v>2043</v>
      </c>
      <c r="E31" s="528">
        <f t="shared" si="2"/>
        <v>9.6579999999999995</v>
      </c>
    </row>
    <row r="32" spans="2:5" x14ac:dyDescent="0.25">
      <c r="B32" s="509">
        <v>2044</v>
      </c>
      <c r="C32" s="510">
        <f t="shared" si="1"/>
        <v>2.8915999999999999</v>
      </c>
      <c r="D32" s="509">
        <v>2044</v>
      </c>
      <c r="E32" s="528">
        <f t="shared" si="2"/>
        <v>10.044</v>
      </c>
    </row>
    <row r="33" spans="2:5" x14ac:dyDescent="0.25">
      <c r="B33" s="509">
        <v>2045</v>
      </c>
      <c r="C33" s="510">
        <f t="shared" si="1"/>
        <v>3.0072999999999999</v>
      </c>
      <c r="D33" s="509">
        <v>2045</v>
      </c>
      <c r="E33" s="528">
        <f t="shared" si="2"/>
        <v>10.446</v>
      </c>
    </row>
    <row r="34" spans="2:5" x14ac:dyDescent="0.25">
      <c r="B34" s="509">
        <v>2046</v>
      </c>
      <c r="C34" s="510">
        <f t="shared" si="1"/>
        <v>3.1276000000000002</v>
      </c>
      <c r="D34" s="509">
        <v>2046</v>
      </c>
      <c r="E34" s="528">
        <f t="shared" si="2"/>
        <v>10.864000000000001</v>
      </c>
    </row>
    <row r="35" spans="2:5" x14ac:dyDescent="0.25">
      <c r="B35" s="509">
        <v>2047</v>
      </c>
      <c r="C35" s="510">
        <f t="shared" si="1"/>
        <v>3.2526999999999999</v>
      </c>
      <c r="D35" s="509">
        <v>2047</v>
      </c>
      <c r="E35" s="528">
        <f t="shared" si="2"/>
        <v>11.298999999999999</v>
      </c>
    </row>
    <row r="36" spans="2:5" x14ac:dyDescent="0.25">
      <c r="B36" s="509">
        <v>2048</v>
      </c>
      <c r="C36" s="510">
        <f t="shared" si="1"/>
        <v>3.3828</v>
      </c>
      <c r="D36" s="509">
        <v>2048</v>
      </c>
      <c r="E36" s="528">
        <f t="shared" si="2"/>
        <v>11.750999999999999</v>
      </c>
    </row>
    <row r="37" spans="2:5" x14ac:dyDescent="0.25">
      <c r="B37" s="509">
        <v>2049</v>
      </c>
      <c r="C37" s="510">
        <f t="shared" si="1"/>
        <v>3.5181</v>
      </c>
      <c r="D37" s="509">
        <v>2049</v>
      </c>
      <c r="E37" s="528">
        <f t="shared" si="2"/>
        <v>12.221</v>
      </c>
    </row>
    <row r="38" spans="2:5" x14ac:dyDescent="0.25">
      <c r="B38" s="509">
        <v>2050</v>
      </c>
      <c r="C38" s="510">
        <f t="shared" si="1"/>
        <v>3.6587999999999998</v>
      </c>
      <c r="D38" s="509">
        <v>2050</v>
      </c>
      <c r="E38" s="528">
        <f t="shared" si="2"/>
        <v>12.71</v>
      </c>
    </row>
  </sheetData>
  <mergeCells count="3">
    <mergeCell ref="B3:C3"/>
    <mergeCell ref="D3:E3"/>
    <mergeCell ref="M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abSelected="1" topLeftCell="A14" workbookViewId="0">
      <selection activeCell="C27" sqref="C27"/>
    </sheetView>
  </sheetViews>
  <sheetFormatPr defaultRowHeight="15" x14ac:dyDescent="0.25"/>
  <cols>
    <col min="2" max="3" width="67.85546875" customWidth="1"/>
  </cols>
  <sheetData>
    <row r="2" spans="2:3" ht="26.25" customHeight="1" x14ac:dyDescent="0.25">
      <c r="B2" s="687" t="s">
        <v>561</v>
      </c>
    </row>
    <row r="3" spans="2:3" ht="26.25" customHeight="1" x14ac:dyDescent="0.25">
      <c r="B3" s="687" t="s">
        <v>562</v>
      </c>
    </row>
    <row r="4" spans="2:3" ht="26.25" customHeight="1" thickBot="1" x14ac:dyDescent="0.3">
      <c r="B4" s="688"/>
    </row>
    <row r="5" spans="2:3" ht="26.25" customHeight="1" thickBot="1" x14ac:dyDescent="0.3">
      <c r="B5" s="689" t="s">
        <v>563</v>
      </c>
      <c r="C5" s="690" t="s">
        <v>564</v>
      </c>
    </row>
    <row r="6" spans="2:3" ht="26.25" customHeight="1" thickBot="1" x14ac:dyDescent="0.3">
      <c r="B6" s="691" t="s">
        <v>565</v>
      </c>
      <c r="C6" s="692" t="s">
        <v>566</v>
      </c>
    </row>
    <row r="7" spans="2:3" ht="26.25" customHeight="1" thickBot="1" x14ac:dyDescent="0.3">
      <c r="B7" s="691" t="s">
        <v>567</v>
      </c>
      <c r="C7" s="692" t="s">
        <v>568</v>
      </c>
    </row>
    <row r="8" spans="2:3" ht="26.25" customHeight="1" thickBot="1" x14ac:dyDescent="0.3">
      <c r="B8" s="691" t="s">
        <v>569</v>
      </c>
      <c r="C8" s="692" t="s">
        <v>570</v>
      </c>
    </row>
    <row r="9" spans="2:3" ht="26.25" customHeight="1" thickBot="1" x14ac:dyDescent="0.3">
      <c r="B9" s="691" t="s">
        <v>571</v>
      </c>
      <c r="C9" s="692" t="s">
        <v>545</v>
      </c>
    </row>
    <row r="10" spans="2:3" ht="26.25" customHeight="1" thickBot="1" x14ac:dyDescent="0.3">
      <c r="B10" s="691" t="s">
        <v>572</v>
      </c>
      <c r="C10" s="692" t="s">
        <v>524</v>
      </c>
    </row>
    <row r="11" spans="2:3" ht="26.25" customHeight="1" thickBot="1" x14ac:dyDescent="0.3">
      <c r="B11" s="691" t="s">
        <v>573</v>
      </c>
      <c r="C11" s="692" t="s">
        <v>574</v>
      </c>
    </row>
    <row r="12" spans="2:3" ht="26.25" customHeight="1" thickBot="1" x14ac:dyDescent="0.3">
      <c r="B12" s="691" t="s">
        <v>8</v>
      </c>
      <c r="C12" s="692" t="s">
        <v>575</v>
      </c>
    </row>
    <row r="13" spans="2:3" ht="26.25" customHeight="1" thickBot="1" x14ac:dyDescent="0.3">
      <c r="B13" s="691" t="s">
        <v>576</v>
      </c>
      <c r="C13" s="692">
        <v>2.5</v>
      </c>
    </row>
    <row r="14" spans="2:3" ht="26.25" customHeight="1" thickBot="1" x14ac:dyDescent="0.3">
      <c r="B14" s="691" t="s">
        <v>9</v>
      </c>
      <c r="C14" s="692" t="s">
        <v>577</v>
      </c>
    </row>
    <row r="15" spans="2:3" ht="26.25" customHeight="1" thickBot="1" x14ac:dyDescent="0.3">
      <c r="B15" s="691" t="s">
        <v>578</v>
      </c>
      <c r="C15" s="692" t="s">
        <v>579</v>
      </c>
    </row>
    <row r="16" spans="2:3" ht="26.25" customHeight="1" thickBot="1" x14ac:dyDescent="0.3">
      <c r="B16" s="691" t="s">
        <v>580</v>
      </c>
      <c r="C16" s="692" t="s">
        <v>581</v>
      </c>
    </row>
    <row r="17" spans="2:3" ht="26.25" customHeight="1" thickBot="1" x14ac:dyDescent="0.3">
      <c r="B17" s="691" t="s">
        <v>582</v>
      </c>
      <c r="C17" s="692" t="s">
        <v>583</v>
      </c>
    </row>
    <row r="18" spans="2:3" ht="26.25" customHeight="1" thickBot="1" x14ac:dyDescent="0.3">
      <c r="B18" s="691" t="s">
        <v>584</v>
      </c>
      <c r="C18" s="692" t="s">
        <v>36</v>
      </c>
    </row>
    <row r="19" spans="2:3" ht="26.25" customHeight="1" thickBot="1" x14ac:dyDescent="0.3">
      <c r="B19" s="691" t="s">
        <v>585</v>
      </c>
      <c r="C19" s="692" t="s">
        <v>36</v>
      </c>
    </row>
    <row r="20" spans="2:3" ht="26.25" customHeight="1" thickBot="1" x14ac:dyDescent="0.3">
      <c r="B20" s="691" t="s">
        <v>586</v>
      </c>
      <c r="C20" s="692">
        <v>10</v>
      </c>
    </row>
    <row r="21" spans="2:3" ht="26.25" customHeight="1" thickBot="1" x14ac:dyDescent="0.3">
      <c r="B21" s="691" t="s">
        <v>587</v>
      </c>
      <c r="C21" s="692" t="s">
        <v>36</v>
      </c>
    </row>
    <row r="22" spans="2:3" ht="26.25" customHeight="1" thickBot="1" x14ac:dyDescent="0.3">
      <c r="B22" s="691" t="s">
        <v>588</v>
      </c>
      <c r="C22" s="692" t="s">
        <v>36</v>
      </c>
    </row>
    <row r="23" spans="2:3" ht="26.25" customHeight="1" thickBot="1" x14ac:dyDescent="0.3">
      <c r="B23" s="691" t="s">
        <v>589</v>
      </c>
      <c r="C23" s="692" t="s">
        <v>36</v>
      </c>
    </row>
    <row r="24" spans="2:3" ht="26.25" customHeight="1" thickBot="1" x14ac:dyDescent="0.3">
      <c r="B24" s="691" t="s">
        <v>590</v>
      </c>
      <c r="C24" s="692" t="s">
        <v>36</v>
      </c>
    </row>
    <row r="25" spans="2:3" ht="26.25" customHeight="1" thickBot="1" x14ac:dyDescent="0.3">
      <c r="B25" s="691" t="s">
        <v>591</v>
      </c>
      <c r="C25" s="693"/>
    </row>
    <row r="26" spans="2:3" ht="26.25" customHeight="1" thickBot="1" x14ac:dyDescent="0.3">
      <c r="B26" s="691" t="s">
        <v>29</v>
      </c>
      <c r="C26" s="692">
        <v>50</v>
      </c>
    </row>
    <row r="27" spans="2:3" ht="26.25" customHeight="1" thickBot="1" x14ac:dyDescent="0.3">
      <c r="B27" s="691" t="s">
        <v>34</v>
      </c>
      <c r="C27" s="692">
        <v>500</v>
      </c>
    </row>
    <row r="28" spans="2:3" ht="26.25" customHeight="1" thickBot="1" x14ac:dyDescent="0.3">
      <c r="B28" s="691" t="s">
        <v>592</v>
      </c>
      <c r="C28" s="692">
        <v>750</v>
      </c>
    </row>
    <row r="29" spans="2:3" ht="26.25" customHeight="1" thickBot="1" x14ac:dyDescent="0.3">
      <c r="B29" s="691" t="s">
        <v>32</v>
      </c>
      <c r="C29" s="692">
        <v>585</v>
      </c>
    </row>
    <row r="30" spans="2:3" ht="26.25" customHeight="1" thickBot="1" x14ac:dyDescent="0.3">
      <c r="B30" s="691" t="s">
        <v>33</v>
      </c>
      <c r="C30" s="692">
        <v>500</v>
      </c>
    </row>
    <row r="31" spans="2:3" ht="26.25" customHeight="1" thickBot="1" x14ac:dyDescent="0.3">
      <c r="B31" s="691" t="s">
        <v>593</v>
      </c>
      <c r="C31" s="692" t="s">
        <v>594</v>
      </c>
    </row>
    <row r="32" spans="2:3" ht="26.25" customHeight="1" thickBot="1" x14ac:dyDescent="0.3">
      <c r="B32" s="691" t="s">
        <v>595</v>
      </c>
      <c r="C32" s="692">
        <v>151</v>
      </c>
    </row>
    <row r="33" spans="2:3" ht="26.25" customHeight="1" thickBot="1" x14ac:dyDescent="0.3">
      <c r="B33" s="691" t="s">
        <v>596</v>
      </c>
      <c r="C33" s="692">
        <v>134</v>
      </c>
    </row>
    <row r="34" spans="2:3" ht="26.25" customHeight="1" thickBot="1" x14ac:dyDescent="0.3">
      <c r="B34" s="691" t="s">
        <v>597</v>
      </c>
      <c r="C34" s="692">
        <v>76</v>
      </c>
    </row>
    <row r="35" spans="2:3" ht="26.25" customHeight="1" thickBot="1" x14ac:dyDescent="0.3">
      <c r="B35" s="691" t="s">
        <v>598</v>
      </c>
      <c r="C35" s="692">
        <v>150</v>
      </c>
    </row>
    <row r="36" spans="2:3" ht="26.25" customHeight="1" thickBot="1" x14ac:dyDescent="0.3">
      <c r="B36" s="691" t="s">
        <v>599</v>
      </c>
      <c r="C36" s="692" t="s">
        <v>36</v>
      </c>
    </row>
    <row r="37" spans="2:3" ht="26.25" customHeight="1" thickBot="1" x14ac:dyDescent="0.3">
      <c r="B37" s="691" t="s">
        <v>600</v>
      </c>
      <c r="C37" s="692" t="s">
        <v>36</v>
      </c>
    </row>
    <row r="38" spans="2:3" ht="26.25" customHeight="1" thickBot="1" x14ac:dyDescent="0.3">
      <c r="B38" s="694" t="s">
        <v>601</v>
      </c>
      <c r="C38" s="695" t="s">
        <v>602</v>
      </c>
    </row>
    <row r="39" spans="2:3" x14ac:dyDescent="0.25">
      <c r="B39" s="592"/>
    </row>
  </sheetData>
  <hyperlinks>
    <hyperlink ref="C3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J72"/>
  <sheetViews>
    <sheetView showGridLines="0" view="pageBreakPreview" topLeftCell="A19" zoomScale="85" zoomScaleNormal="85" zoomScaleSheetLayoutView="85" zoomScalePageLayoutView="55" workbookViewId="0">
      <selection activeCell="B27" sqref="B27:G27"/>
    </sheetView>
  </sheetViews>
  <sheetFormatPr defaultColWidth="8.85546875" defaultRowHeight="18.75" x14ac:dyDescent="0.3"/>
  <cols>
    <col min="1" max="1" width="2.42578125" style="324" customWidth="1"/>
    <col min="2" max="2" width="4.42578125" style="325" customWidth="1"/>
    <col min="3" max="3" width="12.7109375" style="544" customWidth="1"/>
    <col min="4" max="4" width="12.7109375" style="325" customWidth="1"/>
    <col min="5" max="5" width="13.42578125" style="325" customWidth="1"/>
    <col min="6" max="15" width="12.7109375" style="325" customWidth="1"/>
    <col min="16" max="17" width="16.140625" customWidth="1"/>
    <col min="18" max="18" width="4.42578125" customWidth="1"/>
  </cols>
  <sheetData>
    <row r="1" spans="2:36" ht="12" customHeight="1" x14ac:dyDescent="0.3">
      <c r="C1" s="325"/>
    </row>
    <row r="2" spans="2:36" x14ac:dyDescent="0.3">
      <c r="B2" s="598" t="s">
        <v>0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53"/>
      <c r="S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</row>
    <row r="3" spans="2:36" x14ac:dyDescent="0.3">
      <c r="C3" s="55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</row>
    <row r="4" spans="2:36" ht="15.75" customHeight="1" x14ac:dyDescent="0.3">
      <c r="D4" s="597" t="s">
        <v>1</v>
      </c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S4" s="596"/>
      <c r="T4" s="596"/>
      <c r="U4" s="596"/>
      <c r="V4" s="596"/>
      <c r="W4" s="596"/>
      <c r="X4" s="596"/>
      <c r="Y4" s="596"/>
      <c r="Z4" s="596"/>
      <c r="AA4" s="596"/>
      <c r="AB4" s="596"/>
    </row>
    <row r="5" spans="2:36" ht="24.75" customHeight="1" x14ac:dyDescent="0.3">
      <c r="D5" s="599" t="s">
        <v>2</v>
      </c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  <c r="S5" s="596"/>
      <c r="T5" s="596"/>
      <c r="U5" s="596"/>
      <c r="V5" s="596"/>
      <c r="W5" s="596"/>
      <c r="X5" s="596"/>
      <c r="Y5" s="596"/>
      <c r="Z5" s="596"/>
      <c r="AA5" s="596"/>
      <c r="AB5" s="596"/>
    </row>
    <row r="6" spans="2:36" x14ac:dyDescent="0.3">
      <c r="D6" s="595" t="s">
        <v>546</v>
      </c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S6" s="596"/>
      <c r="T6" s="596"/>
      <c r="U6" s="596"/>
      <c r="V6" s="596"/>
      <c r="W6" s="596"/>
      <c r="X6" s="596"/>
      <c r="Y6" s="596"/>
      <c r="Z6" s="596"/>
      <c r="AA6" s="596"/>
      <c r="AB6" s="596"/>
    </row>
    <row r="7" spans="2:36" x14ac:dyDescent="0.3">
      <c r="D7" s="597" t="s">
        <v>466</v>
      </c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S7" s="596"/>
      <c r="T7" s="596"/>
      <c r="U7" s="596"/>
      <c r="V7" s="596"/>
      <c r="W7" s="596"/>
      <c r="X7" s="596"/>
      <c r="Y7" s="596"/>
      <c r="Z7" s="596"/>
      <c r="AA7" s="596"/>
      <c r="AB7" s="596"/>
    </row>
    <row r="8" spans="2:36" x14ac:dyDescent="0.3">
      <c r="D8" s="595" t="s">
        <v>544</v>
      </c>
      <c r="E8" s="595"/>
      <c r="F8" s="595"/>
      <c r="G8" s="595"/>
      <c r="H8" s="595"/>
      <c r="I8" s="595"/>
      <c r="J8" s="595"/>
      <c r="K8" s="595"/>
      <c r="L8" s="595"/>
      <c r="M8" s="595"/>
      <c r="N8" s="595"/>
      <c r="O8" s="595"/>
      <c r="S8" s="541"/>
      <c r="T8" s="541"/>
      <c r="U8" s="541"/>
      <c r="V8" s="541"/>
      <c r="W8" s="541"/>
      <c r="X8" s="541"/>
      <c r="Y8" s="541"/>
      <c r="Z8" s="541"/>
      <c r="AA8" s="541"/>
      <c r="AB8" s="541"/>
    </row>
    <row r="9" spans="2:36" ht="19.5" customHeight="1" x14ac:dyDescent="0.3">
      <c r="C9" s="551"/>
      <c r="D9" s="597" t="s">
        <v>467</v>
      </c>
      <c r="E9" s="597"/>
      <c r="F9" s="597"/>
      <c r="G9" s="597"/>
      <c r="H9" s="597"/>
      <c r="I9" s="597"/>
      <c r="J9" s="597"/>
      <c r="K9" s="597"/>
      <c r="L9" s="597"/>
      <c r="M9" s="597"/>
      <c r="N9" s="597"/>
      <c r="O9" s="597"/>
    </row>
    <row r="10" spans="2:36" ht="19.5" customHeight="1" x14ac:dyDescent="0.3">
      <c r="C10" s="551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</row>
    <row r="11" spans="2:36" ht="19.5" customHeight="1" x14ac:dyDescent="0.3">
      <c r="B11" s="602" t="s">
        <v>118</v>
      </c>
      <c r="C11" s="602"/>
      <c r="D11" s="602"/>
      <c r="E11" s="602"/>
      <c r="F11" s="602"/>
      <c r="G11" s="602"/>
      <c r="H11" s="603" t="s">
        <v>468</v>
      </c>
      <c r="I11" s="603"/>
      <c r="J11" s="603"/>
      <c r="K11" s="603"/>
      <c r="L11" s="603"/>
      <c r="M11" s="603"/>
      <c r="N11" s="603"/>
      <c r="O11" s="603"/>
      <c r="P11" s="603"/>
      <c r="Q11" s="326"/>
    </row>
    <row r="12" spans="2:36" ht="4.5" customHeight="1" x14ac:dyDescent="0.3">
      <c r="C12" s="551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</row>
    <row r="13" spans="2:36" x14ac:dyDescent="0.3">
      <c r="B13" s="604">
        <v>1</v>
      </c>
      <c r="C13" s="605"/>
      <c r="D13" s="605"/>
      <c r="E13" s="605"/>
      <c r="F13" s="605"/>
      <c r="G13" s="606"/>
      <c r="H13" s="603">
        <v>2</v>
      </c>
      <c r="I13" s="603"/>
      <c r="J13" s="603"/>
      <c r="K13" s="603"/>
      <c r="L13" s="603"/>
      <c r="M13" s="603"/>
      <c r="N13" s="603"/>
      <c r="O13" s="603"/>
      <c r="P13" s="603"/>
      <c r="Q13" s="326"/>
      <c r="T13" s="426"/>
      <c r="U13" s="426"/>
      <c r="V13" s="426"/>
      <c r="W13" s="426"/>
      <c r="X13" s="426"/>
      <c r="Y13" s="426"/>
      <c r="Z13" s="426"/>
    </row>
    <row r="14" spans="2:36" x14ac:dyDescent="0.3">
      <c r="B14" s="607" t="s">
        <v>469</v>
      </c>
      <c r="C14" s="608"/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9"/>
      <c r="Q14" s="556"/>
      <c r="S14" s="426"/>
      <c r="T14" s="426"/>
      <c r="U14" s="426"/>
      <c r="V14" s="426"/>
      <c r="W14" s="426"/>
      <c r="X14" s="426"/>
      <c r="Y14" s="426"/>
      <c r="Z14" s="426"/>
    </row>
    <row r="15" spans="2:36" x14ac:dyDescent="0.3">
      <c r="B15" s="600" t="s">
        <v>470</v>
      </c>
      <c r="C15" s="600"/>
      <c r="D15" s="600"/>
      <c r="E15" s="600"/>
      <c r="F15" s="600"/>
      <c r="G15" s="600"/>
      <c r="H15" s="601" t="s">
        <v>544</v>
      </c>
      <c r="I15" s="601"/>
      <c r="J15" s="601"/>
      <c r="K15" s="601"/>
      <c r="L15" s="601"/>
      <c r="M15" s="601"/>
      <c r="N15" s="601"/>
      <c r="O15" s="601"/>
      <c r="P15" s="601"/>
      <c r="Q15" s="551"/>
    </row>
    <row r="16" spans="2:36" x14ac:dyDescent="0.3">
      <c r="B16" s="600" t="s">
        <v>471</v>
      </c>
      <c r="C16" s="600"/>
      <c r="D16" s="600"/>
      <c r="E16" s="600"/>
      <c r="F16" s="600"/>
      <c r="G16" s="600"/>
      <c r="H16" s="601"/>
      <c r="I16" s="601"/>
      <c r="J16" s="601"/>
      <c r="K16" s="601"/>
      <c r="L16" s="601"/>
      <c r="M16" s="601"/>
      <c r="N16" s="601"/>
      <c r="O16" s="601"/>
      <c r="P16" s="601"/>
      <c r="Q16" s="551"/>
    </row>
    <row r="17" spans="2:17" x14ac:dyDescent="0.3">
      <c r="B17" s="600" t="s">
        <v>472</v>
      </c>
      <c r="C17" s="600"/>
      <c r="D17" s="600"/>
      <c r="E17" s="600"/>
      <c r="F17" s="600"/>
      <c r="G17" s="600"/>
      <c r="H17" s="601"/>
      <c r="I17" s="601"/>
      <c r="J17" s="601"/>
      <c r="K17" s="601"/>
      <c r="L17" s="601"/>
      <c r="M17" s="601"/>
      <c r="N17" s="601"/>
      <c r="O17" s="601"/>
      <c r="P17" s="601"/>
      <c r="Q17" s="551"/>
    </row>
    <row r="18" spans="2:17" x14ac:dyDescent="0.3">
      <c r="B18" s="600" t="s">
        <v>473</v>
      </c>
      <c r="C18" s="600"/>
      <c r="D18" s="600"/>
      <c r="E18" s="600"/>
      <c r="F18" s="600"/>
      <c r="G18" s="600"/>
      <c r="H18" s="601"/>
      <c r="I18" s="601"/>
      <c r="J18" s="601"/>
      <c r="K18" s="601"/>
      <c r="L18" s="601"/>
      <c r="M18" s="601"/>
      <c r="N18" s="601"/>
      <c r="O18" s="601"/>
      <c r="P18" s="601"/>
      <c r="Q18" s="551"/>
    </row>
    <row r="19" spans="2:17" x14ac:dyDescent="0.3">
      <c r="B19" s="600" t="s">
        <v>474</v>
      </c>
      <c r="C19" s="600"/>
      <c r="D19" s="600"/>
      <c r="E19" s="600"/>
      <c r="F19" s="600"/>
      <c r="G19" s="600"/>
      <c r="H19" s="601" t="s">
        <v>545</v>
      </c>
      <c r="I19" s="601"/>
      <c r="J19" s="601"/>
      <c r="K19" s="601"/>
      <c r="L19" s="601"/>
      <c r="M19" s="601"/>
      <c r="N19" s="601"/>
      <c r="O19" s="601"/>
      <c r="P19" s="601"/>
      <c r="Q19" s="551"/>
    </row>
    <row r="20" spans="2:17" ht="63" customHeight="1" x14ac:dyDescent="0.3">
      <c r="B20" s="600" t="s">
        <v>475</v>
      </c>
      <c r="C20" s="600"/>
      <c r="D20" s="600"/>
      <c r="E20" s="600"/>
      <c r="F20" s="600"/>
      <c r="G20" s="600"/>
      <c r="H20" s="601"/>
      <c r="I20" s="601"/>
      <c r="J20" s="601"/>
      <c r="K20" s="601"/>
      <c r="L20" s="601"/>
      <c r="M20" s="601"/>
      <c r="N20" s="601"/>
      <c r="O20" s="601"/>
      <c r="P20" s="601"/>
      <c r="Q20" s="551"/>
    </row>
    <row r="21" spans="2:17" ht="57" customHeight="1" x14ac:dyDescent="0.3">
      <c r="B21" s="600" t="s">
        <v>4</v>
      </c>
      <c r="C21" s="600"/>
      <c r="D21" s="600"/>
      <c r="E21" s="600"/>
      <c r="F21" s="600"/>
      <c r="G21" s="600"/>
      <c r="H21" s="610" t="s">
        <v>356</v>
      </c>
      <c r="I21" s="611"/>
      <c r="J21" s="611"/>
      <c r="K21" s="611"/>
      <c r="L21" s="612"/>
      <c r="M21" s="610" t="s">
        <v>357</v>
      </c>
      <c r="N21" s="611"/>
      <c r="O21" s="611"/>
      <c r="P21" s="612"/>
      <c r="Q21" s="548"/>
    </row>
    <row r="22" spans="2:17" ht="61.5" customHeight="1" x14ac:dyDescent="0.3">
      <c r="B22" s="600"/>
      <c r="C22" s="600"/>
      <c r="D22" s="600"/>
      <c r="E22" s="600"/>
      <c r="F22" s="600"/>
      <c r="G22" s="600"/>
      <c r="H22" s="610"/>
      <c r="I22" s="611"/>
      <c r="J22" s="611"/>
      <c r="K22" s="611"/>
      <c r="L22" s="612"/>
      <c r="M22" s="613" t="s">
        <v>543</v>
      </c>
      <c r="N22" s="613"/>
      <c r="O22" s="613"/>
      <c r="P22" s="614"/>
      <c r="Q22" s="557"/>
    </row>
    <row r="23" spans="2:17" x14ac:dyDescent="0.3">
      <c r="B23" s="607" t="s">
        <v>476</v>
      </c>
      <c r="C23" s="608"/>
      <c r="D23" s="608"/>
      <c r="E23" s="608"/>
      <c r="F23" s="608"/>
      <c r="G23" s="608"/>
      <c r="H23" s="608"/>
      <c r="I23" s="608"/>
      <c r="J23" s="608"/>
      <c r="K23" s="608"/>
      <c r="L23" s="608"/>
      <c r="M23" s="608"/>
      <c r="N23" s="608"/>
      <c r="O23" s="608"/>
      <c r="P23" s="609"/>
      <c r="Q23" s="556"/>
    </row>
    <row r="24" spans="2:17" ht="102" customHeight="1" x14ac:dyDescent="0.3">
      <c r="B24" s="600" t="s">
        <v>477</v>
      </c>
      <c r="C24" s="600"/>
      <c r="D24" s="600"/>
      <c r="E24" s="600"/>
      <c r="F24" s="600"/>
      <c r="G24" s="600"/>
      <c r="H24" s="615" t="s">
        <v>542</v>
      </c>
      <c r="I24" s="616"/>
      <c r="J24" s="616"/>
      <c r="K24" s="616"/>
      <c r="L24" s="616"/>
      <c r="M24" s="616"/>
      <c r="N24" s="616"/>
      <c r="O24" s="616"/>
      <c r="P24" s="616"/>
      <c r="Q24" s="551"/>
    </row>
    <row r="25" spans="2:17" ht="41.25" customHeight="1" x14ac:dyDescent="0.3">
      <c r="B25" s="600" t="s">
        <v>478</v>
      </c>
      <c r="C25" s="600"/>
      <c r="D25" s="600"/>
      <c r="E25" s="600"/>
      <c r="F25" s="600"/>
      <c r="G25" s="600"/>
      <c r="H25" s="601" t="s">
        <v>547</v>
      </c>
      <c r="I25" s="601"/>
      <c r="J25" s="601"/>
      <c r="K25" s="601"/>
      <c r="L25" s="601"/>
      <c r="M25" s="601"/>
      <c r="N25" s="601"/>
      <c r="O25" s="601"/>
      <c r="P25" s="601"/>
      <c r="Q25" s="551"/>
    </row>
    <row r="26" spans="2:17" x14ac:dyDescent="0.3">
      <c r="B26" s="600" t="s">
        <v>479</v>
      </c>
      <c r="C26" s="600"/>
      <c r="D26" s="600"/>
      <c r="E26" s="600"/>
      <c r="F26" s="600"/>
      <c r="G26" s="600"/>
      <c r="H26" s="601"/>
      <c r="I26" s="601"/>
      <c r="J26" s="601"/>
      <c r="K26" s="601"/>
      <c r="L26" s="601"/>
      <c r="M26" s="601"/>
      <c r="N26" s="601"/>
      <c r="O26" s="601"/>
      <c r="P26" s="601"/>
      <c r="Q26" s="551"/>
    </row>
    <row r="27" spans="2:17" ht="60.75" customHeight="1" x14ac:dyDescent="0.3">
      <c r="B27" s="600" t="s">
        <v>480</v>
      </c>
      <c r="C27" s="600"/>
      <c r="D27" s="600"/>
      <c r="E27" s="600"/>
      <c r="F27" s="600"/>
      <c r="G27" s="600"/>
      <c r="H27" s="601">
        <v>30</v>
      </c>
      <c r="I27" s="601"/>
      <c r="J27" s="601"/>
      <c r="K27" s="601"/>
      <c r="L27" s="601"/>
      <c r="M27" s="601"/>
      <c r="N27" s="601"/>
      <c r="O27" s="601"/>
      <c r="P27" s="601"/>
      <c r="Q27" s="551"/>
    </row>
    <row r="28" spans="2:17" ht="39" customHeight="1" x14ac:dyDescent="0.3">
      <c r="B28" s="600" t="s">
        <v>481</v>
      </c>
      <c r="C28" s="600"/>
      <c r="D28" s="600"/>
      <c r="E28" s="600"/>
      <c r="F28" s="600"/>
      <c r="G28" s="600"/>
      <c r="H28" s="601" t="s">
        <v>548</v>
      </c>
      <c r="I28" s="601"/>
      <c r="J28" s="601"/>
      <c r="K28" s="601"/>
      <c r="L28" s="601"/>
      <c r="M28" s="601"/>
      <c r="N28" s="601"/>
      <c r="O28" s="601"/>
      <c r="P28" s="601"/>
      <c r="Q28" s="551"/>
    </row>
    <row r="29" spans="2:17" ht="42.75" customHeight="1" x14ac:dyDescent="0.3">
      <c r="B29" s="600" t="s">
        <v>482</v>
      </c>
      <c r="C29" s="600"/>
      <c r="D29" s="600"/>
      <c r="E29" s="600"/>
      <c r="F29" s="600"/>
      <c r="G29" s="600"/>
      <c r="H29" s="601"/>
      <c r="I29" s="601"/>
      <c r="J29" s="601"/>
      <c r="K29" s="601"/>
      <c r="L29" s="601"/>
      <c r="M29" s="601"/>
      <c r="N29" s="601"/>
      <c r="O29" s="601"/>
      <c r="P29" s="601"/>
      <c r="Q29" s="551"/>
    </row>
    <row r="30" spans="2:17" ht="31.5" customHeight="1" x14ac:dyDescent="0.3">
      <c r="B30" s="617" t="s">
        <v>483</v>
      </c>
      <c r="C30" s="618"/>
      <c r="D30" s="618"/>
      <c r="E30" s="618"/>
      <c r="F30" s="618"/>
      <c r="G30" s="619"/>
      <c r="H30" s="558"/>
      <c r="I30" s="623" t="s">
        <v>221</v>
      </c>
      <c r="J30" s="624"/>
      <c r="K30" s="624"/>
      <c r="L30" s="624"/>
      <c r="M30" s="624"/>
      <c r="N30" s="624"/>
      <c r="O30" s="624"/>
      <c r="P30" s="625"/>
      <c r="Q30" s="551"/>
    </row>
    <row r="31" spans="2:17" ht="28.5" customHeight="1" x14ac:dyDescent="0.3">
      <c r="B31" s="620"/>
      <c r="C31" s="621"/>
      <c r="D31" s="621"/>
      <c r="E31" s="621"/>
      <c r="F31" s="621"/>
      <c r="G31" s="622"/>
      <c r="H31" s="558"/>
      <c r="I31" s="623" t="s">
        <v>368</v>
      </c>
      <c r="J31" s="624"/>
      <c r="K31" s="624"/>
      <c r="L31" s="624"/>
      <c r="M31" s="624"/>
      <c r="N31" s="624"/>
      <c r="O31" s="624"/>
      <c r="P31" s="625"/>
      <c r="Q31" s="551"/>
    </row>
    <row r="32" spans="2:17" ht="41.25" customHeight="1" x14ac:dyDescent="0.3">
      <c r="B32" s="600" t="s">
        <v>484</v>
      </c>
      <c r="C32" s="600"/>
      <c r="D32" s="600"/>
      <c r="E32" s="600"/>
      <c r="F32" s="600"/>
      <c r="G32" s="600"/>
      <c r="H32" s="601"/>
      <c r="I32" s="601"/>
      <c r="J32" s="601"/>
      <c r="K32" s="601"/>
      <c r="L32" s="601"/>
      <c r="M32" s="601"/>
      <c r="N32" s="601"/>
      <c r="O32" s="601"/>
      <c r="P32" s="601"/>
      <c r="Q32" s="551"/>
    </row>
    <row r="33" spans="2:17" x14ac:dyDescent="0.3">
      <c r="B33" s="607" t="s">
        <v>485</v>
      </c>
      <c r="C33" s="608"/>
      <c r="D33" s="608"/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9"/>
      <c r="Q33" s="556"/>
    </row>
    <row r="34" spans="2:17" x14ac:dyDescent="0.3">
      <c r="B34" s="629"/>
      <c r="C34" s="630"/>
      <c r="D34" s="610" t="s">
        <v>5</v>
      </c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2"/>
      <c r="Q34" s="548"/>
    </row>
    <row r="35" spans="2:17" x14ac:dyDescent="0.3">
      <c r="B35" s="629"/>
      <c r="C35" s="630"/>
      <c r="D35" s="610" t="s">
        <v>486</v>
      </c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2"/>
      <c r="Q35" s="548"/>
    </row>
    <row r="36" spans="2:17" x14ac:dyDescent="0.3">
      <c r="B36" s="629"/>
      <c r="C36" s="630"/>
      <c r="D36" s="610" t="s">
        <v>487</v>
      </c>
      <c r="E36" s="611"/>
      <c r="F36" s="611"/>
      <c r="G36" s="611"/>
      <c r="H36" s="611"/>
      <c r="I36" s="611"/>
      <c r="J36" s="611"/>
      <c r="K36" s="611"/>
      <c r="L36" s="611"/>
      <c r="M36" s="611"/>
      <c r="N36" s="611"/>
      <c r="O36" s="611"/>
      <c r="P36" s="612"/>
      <c r="Q36" s="548"/>
    </row>
    <row r="37" spans="2:17" ht="42" customHeight="1" x14ac:dyDescent="0.3">
      <c r="B37" s="600" t="s">
        <v>488</v>
      </c>
      <c r="C37" s="600"/>
      <c r="D37" s="600"/>
      <c r="E37" s="600"/>
      <c r="F37" s="600"/>
      <c r="G37" s="600"/>
      <c r="H37" s="631">
        <f>'Налоговые поступления в бюджет'!M71</f>
        <v>13495.792394020264</v>
      </c>
      <c r="I37" s="601"/>
      <c r="J37" s="601"/>
      <c r="K37" s="601"/>
      <c r="L37" s="601"/>
      <c r="M37" s="601"/>
      <c r="N37" s="601"/>
      <c r="O37" s="601"/>
      <c r="P37" s="601"/>
      <c r="Q37" s="551"/>
    </row>
    <row r="38" spans="2:17" ht="11.25" customHeight="1" x14ac:dyDescent="0.3">
      <c r="B38" s="629"/>
      <c r="C38" s="632"/>
      <c r="D38" s="632"/>
      <c r="E38" s="632"/>
      <c r="F38" s="632"/>
      <c r="G38" s="630"/>
      <c r="H38" s="626"/>
      <c r="I38" s="627"/>
      <c r="J38" s="627"/>
      <c r="K38" s="627"/>
      <c r="L38" s="627"/>
      <c r="M38" s="627"/>
      <c r="N38" s="627"/>
      <c r="O38" s="627"/>
      <c r="P38" s="628"/>
      <c r="Q38" s="326"/>
    </row>
    <row r="39" spans="2:17" x14ac:dyDescent="0.3">
      <c r="B39" s="629" t="s">
        <v>489</v>
      </c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0"/>
      <c r="Q39" s="557"/>
    </row>
    <row r="40" spans="2:17" ht="81" customHeight="1" x14ac:dyDescent="0.3">
      <c r="B40" s="610" t="s">
        <v>490</v>
      </c>
      <c r="C40" s="611"/>
      <c r="D40" s="611"/>
      <c r="E40" s="611"/>
      <c r="F40" s="611"/>
      <c r="G40" s="612"/>
      <c r="H40" s="626" t="s">
        <v>524</v>
      </c>
      <c r="I40" s="627"/>
      <c r="J40" s="627"/>
      <c r="K40" s="627"/>
      <c r="L40" s="627"/>
      <c r="M40" s="627"/>
      <c r="N40" s="627"/>
      <c r="O40" s="627"/>
      <c r="P40" s="628"/>
      <c r="Q40" s="326"/>
    </row>
    <row r="41" spans="2:17" x14ac:dyDescent="0.3">
      <c r="B41" s="610" t="s">
        <v>491</v>
      </c>
      <c r="C41" s="611"/>
      <c r="D41" s="611"/>
      <c r="E41" s="611"/>
      <c r="F41" s="611"/>
      <c r="G41" s="612"/>
      <c r="H41" s="626" t="s">
        <v>545</v>
      </c>
      <c r="I41" s="627"/>
      <c r="J41" s="627"/>
      <c r="K41" s="627"/>
      <c r="L41" s="627"/>
      <c r="M41" s="627"/>
      <c r="N41" s="627"/>
      <c r="O41" s="627"/>
      <c r="P41" s="628"/>
      <c r="Q41" s="326"/>
    </row>
    <row r="42" spans="2:17" ht="79.5" customHeight="1" x14ac:dyDescent="0.3">
      <c r="B42" s="610" t="s">
        <v>492</v>
      </c>
      <c r="C42" s="611"/>
      <c r="D42" s="611"/>
      <c r="E42" s="611"/>
      <c r="F42" s="611"/>
      <c r="G42" s="612"/>
      <c r="H42" s="626">
        <v>25000</v>
      </c>
      <c r="I42" s="627"/>
      <c r="J42" s="627"/>
      <c r="K42" s="627"/>
      <c r="L42" s="627"/>
      <c r="M42" s="627"/>
      <c r="N42" s="627"/>
      <c r="O42" s="627"/>
      <c r="P42" s="628"/>
      <c r="Q42" s="326"/>
    </row>
    <row r="43" spans="2:17" x14ac:dyDescent="0.3">
      <c r="B43" s="610" t="s">
        <v>8</v>
      </c>
      <c r="C43" s="611"/>
      <c r="D43" s="611"/>
      <c r="E43" s="611"/>
      <c r="F43" s="611"/>
      <c r="G43" s="612"/>
      <c r="H43" s="633"/>
      <c r="I43" s="634"/>
      <c r="J43" s="634"/>
      <c r="K43" s="634"/>
      <c r="L43" s="634"/>
      <c r="M43" s="634"/>
      <c r="N43" s="634"/>
      <c r="O43" s="634"/>
      <c r="P43" s="635"/>
      <c r="Q43" s="543"/>
    </row>
    <row r="44" spans="2:17" x14ac:dyDescent="0.3">
      <c r="B44" s="637" t="s">
        <v>9</v>
      </c>
      <c r="C44" s="638"/>
      <c r="D44" s="638"/>
      <c r="E44" s="638"/>
      <c r="F44" s="638"/>
      <c r="G44" s="639"/>
      <c r="H44" s="559"/>
      <c r="I44" s="646" t="s">
        <v>493</v>
      </c>
      <c r="J44" s="646"/>
      <c r="K44" s="646"/>
      <c r="L44" s="646"/>
      <c r="M44" s="646"/>
      <c r="N44" s="646"/>
      <c r="O44" s="646"/>
      <c r="P44" s="646"/>
      <c r="Q44" s="543"/>
    </row>
    <row r="45" spans="2:17" x14ac:dyDescent="0.3">
      <c r="B45" s="640"/>
      <c r="C45" s="641"/>
      <c r="D45" s="641"/>
      <c r="E45" s="641"/>
      <c r="F45" s="641"/>
      <c r="G45" s="642"/>
      <c r="H45" s="559"/>
      <c r="I45" s="646" t="s">
        <v>494</v>
      </c>
      <c r="J45" s="646"/>
      <c r="K45" s="646"/>
      <c r="L45" s="646"/>
      <c r="M45" s="646"/>
      <c r="N45" s="646"/>
      <c r="O45" s="646"/>
      <c r="P45" s="646"/>
      <c r="Q45" s="543"/>
    </row>
    <row r="46" spans="2:17" x14ac:dyDescent="0.3">
      <c r="B46" s="640"/>
      <c r="C46" s="641"/>
      <c r="D46" s="641"/>
      <c r="E46" s="641"/>
      <c r="F46" s="641"/>
      <c r="G46" s="642"/>
      <c r="H46" s="559"/>
      <c r="I46" s="646" t="s">
        <v>495</v>
      </c>
      <c r="J46" s="646"/>
      <c r="K46" s="646"/>
      <c r="L46" s="646"/>
      <c r="M46" s="646"/>
      <c r="N46" s="646"/>
      <c r="O46" s="646"/>
      <c r="P46" s="646"/>
      <c r="Q46" s="543"/>
    </row>
    <row r="47" spans="2:17" x14ac:dyDescent="0.3">
      <c r="B47" s="643"/>
      <c r="C47" s="644"/>
      <c r="D47" s="644"/>
      <c r="E47" s="644"/>
      <c r="F47" s="644"/>
      <c r="G47" s="645"/>
      <c r="H47" s="559"/>
      <c r="I47" s="646" t="s">
        <v>496</v>
      </c>
      <c r="J47" s="646"/>
      <c r="K47" s="646"/>
      <c r="L47" s="646"/>
      <c r="M47" s="646"/>
      <c r="N47" s="646"/>
      <c r="O47" s="646"/>
      <c r="P47" s="646"/>
      <c r="Q47" s="543"/>
    </row>
    <row r="48" spans="2:17" x14ac:dyDescent="0.3">
      <c r="B48" s="647" t="s">
        <v>497</v>
      </c>
      <c r="C48" s="648"/>
      <c r="D48" s="648"/>
      <c r="E48" s="648"/>
      <c r="F48" s="648"/>
      <c r="G48" s="648"/>
      <c r="H48" s="648"/>
      <c r="I48" s="648"/>
      <c r="J48" s="648"/>
      <c r="K48" s="648"/>
      <c r="L48" s="648"/>
      <c r="M48" s="648"/>
      <c r="N48" s="648"/>
      <c r="O48" s="648"/>
      <c r="P48" s="649"/>
      <c r="Q48" s="560"/>
    </row>
    <row r="49" spans="1:17" x14ac:dyDescent="0.3">
      <c r="B49" s="610" t="s">
        <v>497</v>
      </c>
      <c r="C49" s="611"/>
      <c r="D49" s="611"/>
      <c r="E49" s="611"/>
      <c r="F49" s="611"/>
      <c r="G49" s="612"/>
      <c r="H49" s="633"/>
      <c r="I49" s="634"/>
      <c r="J49" s="634"/>
      <c r="K49" s="634"/>
      <c r="L49" s="634"/>
      <c r="M49" s="634"/>
      <c r="N49" s="634"/>
      <c r="O49" s="634"/>
      <c r="P49" s="635"/>
      <c r="Q49" s="543"/>
    </row>
    <row r="51" spans="1:17" x14ac:dyDescent="0.3">
      <c r="B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</row>
    <row r="52" spans="1:17" x14ac:dyDescent="0.3">
      <c r="C52" s="561" t="s">
        <v>498</v>
      </c>
      <c r="P52" s="325"/>
      <c r="Q52" s="542"/>
    </row>
    <row r="53" spans="1:17" x14ac:dyDescent="0.3">
      <c r="B53" s="650"/>
      <c r="C53" s="650"/>
      <c r="D53" s="650"/>
      <c r="E53" s="650"/>
      <c r="F53" s="650"/>
      <c r="G53" s="650"/>
      <c r="H53" s="650"/>
      <c r="I53" s="650"/>
      <c r="J53" s="650"/>
      <c r="K53" s="650"/>
      <c r="L53" s="650"/>
      <c r="M53" s="650"/>
      <c r="N53" s="650"/>
      <c r="O53" s="650"/>
      <c r="P53" s="650"/>
      <c r="Q53" s="549"/>
    </row>
    <row r="54" spans="1:17" ht="40.5" customHeight="1" x14ac:dyDescent="0.3">
      <c r="B54" s="562"/>
      <c r="C54" s="651" t="s">
        <v>499</v>
      </c>
      <c r="D54" s="651"/>
      <c r="E54" s="651"/>
      <c r="F54" s="651"/>
      <c r="G54" s="651"/>
      <c r="H54" s="651"/>
      <c r="I54" s="651"/>
      <c r="J54" s="651"/>
      <c r="K54" s="651"/>
      <c r="L54" s="651"/>
      <c r="M54" s="651"/>
      <c r="N54" s="651"/>
      <c r="O54" s="651"/>
      <c r="P54" s="651"/>
      <c r="Q54" s="550"/>
    </row>
    <row r="55" spans="1:17" x14ac:dyDescent="0.3">
      <c r="C55" s="325" t="s">
        <v>500</v>
      </c>
      <c r="P55" s="325"/>
      <c r="Q55" s="542"/>
    </row>
    <row r="56" spans="1:17" x14ac:dyDescent="0.3">
      <c r="C56" s="325" t="s">
        <v>501</v>
      </c>
      <c r="P56" s="325"/>
      <c r="Q56" s="542"/>
    </row>
    <row r="57" spans="1:17" x14ac:dyDescent="0.3">
      <c r="C57" s="325"/>
      <c r="P57" s="325"/>
      <c r="Q57" s="542"/>
    </row>
    <row r="58" spans="1:17" x14ac:dyDescent="0.3">
      <c r="C58" s="325"/>
      <c r="P58" s="325"/>
      <c r="Q58" s="542"/>
    </row>
    <row r="59" spans="1:17" s="473" customFormat="1" x14ac:dyDescent="0.25">
      <c r="A59" s="472"/>
      <c r="B59" s="563"/>
      <c r="C59" s="563"/>
      <c r="D59" s="563"/>
      <c r="E59" s="563"/>
      <c r="F59" s="563"/>
      <c r="G59" s="563"/>
      <c r="H59" s="563"/>
      <c r="I59" s="563"/>
      <c r="J59" s="563"/>
      <c r="K59" s="563"/>
      <c r="L59" s="563"/>
      <c r="M59" s="563"/>
      <c r="N59" s="563"/>
      <c r="O59" s="563"/>
      <c r="P59" s="563"/>
      <c r="Q59" s="548"/>
    </row>
    <row r="60" spans="1:17" s="473" customFormat="1" x14ac:dyDescent="0.3">
      <c r="A60" s="472"/>
      <c r="B60" s="564"/>
      <c r="D60" s="545" t="s">
        <v>3</v>
      </c>
      <c r="E60" s="545"/>
      <c r="F60" s="546"/>
      <c r="G60" s="546"/>
      <c r="H60" s="325"/>
      <c r="I60" s="652"/>
      <c r="J60" s="652"/>
      <c r="K60" s="652"/>
      <c r="L60" s="652"/>
      <c r="M60" s="652"/>
      <c r="N60" s="652"/>
      <c r="O60" s="652"/>
      <c r="P60" s="545"/>
      <c r="Q60" s="552"/>
    </row>
    <row r="61" spans="1:17" x14ac:dyDescent="0.3">
      <c r="E61" s="554"/>
      <c r="F61" s="636" t="s">
        <v>10</v>
      </c>
      <c r="G61" s="636"/>
      <c r="I61" s="636" t="s">
        <v>11</v>
      </c>
      <c r="J61" s="636"/>
      <c r="K61" s="636"/>
      <c r="L61" s="636"/>
      <c r="M61" s="636"/>
      <c r="N61" s="636"/>
      <c r="O61" s="636"/>
      <c r="P61" s="563"/>
      <c r="Q61" s="547"/>
    </row>
    <row r="62" spans="1:17" ht="32.25" customHeight="1" x14ac:dyDescent="0.3">
      <c r="B62" s="565"/>
      <c r="D62" s="326"/>
      <c r="E62" s="326" t="s">
        <v>12</v>
      </c>
      <c r="Q62" s="565"/>
    </row>
    <row r="63" spans="1:17" x14ac:dyDescent="0.3">
      <c r="F63" s="566"/>
      <c r="G63" s="566"/>
      <c r="Q63" s="545"/>
    </row>
    <row r="64" spans="1:17" x14ac:dyDescent="0.3">
      <c r="F64" s="636" t="s">
        <v>13</v>
      </c>
      <c r="G64" s="636"/>
      <c r="Q64" s="554"/>
    </row>
    <row r="66" spans="3:17" x14ac:dyDescent="0.3">
      <c r="C66" s="567"/>
      <c r="D66" s="566"/>
      <c r="E66" s="566"/>
      <c r="F66" s="566"/>
    </row>
    <row r="67" spans="3:17" ht="39" customHeight="1" x14ac:dyDescent="0.3">
      <c r="C67" s="651" t="s">
        <v>507</v>
      </c>
      <c r="D67" s="651"/>
      <c r="E67" s="651"/>
      <c r="F67" s="651"/>
      <c r="G67" s="651"/>
      <c r="H67" s="651"/>
      <c r="I67" s="651"/>
      <c r="J67" s="651"/>
      <c r="K67" s="651"/>
      <c r="L67" s="651"/>
      <c r="M67" s="651"/>
      <c r="N67" s="651"/>
      <c r="O67" s="651"/>
      <c r="P67" s="651"/>
    </row>
    <row r="68" spans="3:17" ht="42" customHeight="1" x14ac:dyDescent="0.3">
      <c r="C68" s="651" t="s">
        <v>505</v>
      </c>
      <c r="D68" s="651"/>
      <c r="E68" s="651"/>
      <c r="F68" s="651"/>
      <c r="G68" s="651"/>
      <c r="H68" s="651"/>
      <c r="I68" s="651"/>
      <c r="J68" s="651"/>
      <c r="K68" s="651"/>
      <c r="L68" s="651"/>
      <c r="M68" s="651"/>
      <c r="N68" s="651"/>
      <c r="O68" s="651"/>
      <c r="P68" s="651"/>
    </row>
    <row r="69" spans="3:17" x14ac:dyDescent="0.3">
      <c r="C69" s="651" t="s">
        <v>506</v>
      </c>
      <c r="D69" s="651"/>
      <c r="E69" s="651"/>
      <c r="F69" s="651"/>
      <c r="G69" s="651"/>
      <c r="H69" s="651"/>
      <c r="I69" s="651"/>
      <c r="J69" s="651"/>
      <c r="K69" s="651"/>
      <c r="L69" s="651"/>
      <c r="M69" s="651"/>
      <c r="N69" s="651"/>
      <c r="O69" s="651"/>
      <c r="P69" s="651"/>
      <c r="Q69" s="544"/>
    </row>
    <row r="70" spans="3:17" ht="42.75" customHeight="1" x14ac:dyDescent="0.3">
      <c r="C70" s="651"/>
      <c r="D70" s="651"/>
      <c r="E70" s="651"/>
      <c r="F70" s="651"/>
      <c r="G70" s="651"/>
      <c r="H70" s="651"/>
      <c r="I70" s="651"/>
      <c r="J70" s="651"/>
      <c r="K70" s="651"/>
      <c r="L70" s="651"/>
      <c r="M70" s="651"/>
      <c r="N70" s="651"/>
      <c r="O70" s="651"/>
      <c r="P70" s="651"/>
    </row>
    <row r="71" spans="3:17" x14ac:dyDescent="0.3">
      <c r="C71" s="651" t="s">
        <v>508</v>
      </c>
      <c r="D71" s="651"/>
      <c r="E71" s="651"/>
      <c r="F71" s="651"/>
      <c r="G71" s="651"/>
      <c r="H71" s="651"/>
      <c r="I71" s="651"/>
      <c r="J71" s="651"/>
      <c r="K71" s="651"/>
      <c r="L71" s="651"/>
      <c r="M71" s="651"/>
      <c r="N71" s="651"/>
      <c r="O71" s="651"/>
      <c r="P71" s="651"/>
    </row>
    <row r="72" spans="3:17" x14ac:dyDescent="0.3">
      <c r="C72" s="651"/>
      <c r="D72" s="651"/>
      <c r="E72" s="651"/>
      <c r="F72" s="651"/>
      <c r="G72" s="651"/>
      <c r="H72" s="651"/>
      <c r="I72" s="651"/>
      <c r="J72" s="651"/>
      <c r="K72" s="651"/>
      <c r="L72" s="651"/>
      <c r="M72" s="651"/>
      <c r="N72" s="651"/>
      <c r="O72" s="651"/>
      <c r="P72" s="651"/>
    </row>
  </sheetData>
  <mergeCells count="88">
    <mergeCell ref="F64:G64"/>
    <mergeCell ref="C67:P67"/>
    <mergeCell ref="C68:P68"/>
    <mergeCell ref="C69:P70"/>
    <mergeCell ref="C71:P72"/>
    <mergeCell ref="F61:G61"/>
    <mergeCell ref="I61:O61"/>
    <mergeCell ref="B44:G47"/>
    <mergeCell ref="I44:P44"/>
    <mergeCell ref="I45:P45"/>
    <mergeCell ref="I46:P46"/>
    <mergeCell ref="I47:P47"/>
    <mergeCell ref="B48:P48"/>
    <mergeCell ref="B49:G49"/>
    <mergeCell ref="H49:P49"/>
    <mergeCell ref="B53:P53"/>
    <mergeCell ref="C54:P54"/>
    <mergeCell ref="I60:O60"/>
    <mergeCell ref="B41:G41"/>
    <mergeCell ref="H41:P41"/>
    <mergeCell ref="B42:G42"/>
    <mergeCell ref="H42:P42"/>
    <mergeCell ref="B43:G43"/>
    <mergeCell ref="H43:P43"/>
    <mergeCell ref="B40:G40"/>
    <mergeCell ref="H40:P40"/>
    <mergeCell ref="B34:C34"/>
    <mergeCell ref="D34:P34"/>
    <mergeCell ref="B35:C35"/>
    <mergeCell ref="D35:P35"/>
    <mergeCell ref="B36:C36"/>
    <mergeCell ref="D36:P36"/>
    <mergeCell ref="B37:G37"/>
    <mergeCell ref="H37:P37"/>
    <mergeCell ref="B38:G38"/>
    <mergeCell ref="H38:P38"/>
    <mergeCell ref="B39:P39"/>
    <mergeCell ref="B33:P33"/>
    <mergeCell ref="B27:G27"/>
    <mergeCell ref="H27:P27"/>
    <mergeCell ref="B28:G28"/>
    <mergeCell ref="H28:P28"/>
    <mergeCell ref="B29:G29"/>
    <mergeCell ref="H29:P29"/>
    <mergeCell ref="B30:G31"/>
    <mergeCell ref="I30:P30"/>
    <mergeCell ref="I31:P31"/>
    <mergeCell ref="B32:G32"/>
    <mergeCell ref="H32:P32"/>
    <mergeCell ref="B24:G24"/>
    <mergeCell ref="H24:P24"/>
    <mergeCell ref="B25:G25"/>
    <mergeCell ref="H25:P25"/>
    <mergeCell ref="B26:G26"/>
    <mergeCell ref="H26:P26"/>
    <mergeCell ref="B23:P23"/>
    <mergeCell ref="B18:G18"/>
    <mergeCell ref="H18:P18"/>
    <mergeCell ref="B19:G19"/>
    <mergeCell ref="H19:P19"/>
    <mergeCell ref="B20:G20"/>
    <mergeCell ref="H20:P20"/>
    <mergeCell ref="B21:G22"/>
    <mergeCell ref="H21:L21"/>
    <mergeCell ref="M21:P21"/>
    <mergeCell ref="H22:L22"/>
    <mergeCell ref="M22:P22"/>
    <mergeCell ref="B17:G17"/>
    <mergeCell ref="H17:P17"/>
    <mergeCell ref="D8:O8"/>
    <mergeCell ref="D9:O9"/>
    <mergeCell ref="B11:G11"/>
    <mergeCell ref="H11:P11"/>
    <mergeCell ref="B13:G13"/>
    <mergeCell ref="H13:P13"/>
    <mergeCell ref="B14:P14"/>
    <mergeCell ref="B15:G15"/>
    <mergeCell ref="H15:P15"/>
    <mergeCell ref="B16:G16"/>
    <mergeCell ref="H16:P16"/>
    <mergeCell ref="D6:O6"/>
    <mergeCell ref="S6:AB7"/>
    <mergeCell ref="D7:O7"/>
    <mergeCell ref="B2:P2"/>
    <mergeCell ref="D3:O3"/>
    <mergeCell ref="D4:O4"/>
    <mergeCell ref="S4:AB5"/>
    <mergeCell ref="D5:O5"/>
  </mergeCells>
  <pageMargins left="0.78740157480314965" right="0.39370078740157483" top="0.74803149606299213" bottom="0.74803149606299213" header="0.31496062992125984" footer="0.31496062992125984"/>
  <pageSetup paperSize="9" scale="65" fitToHeight="0" orientation="landscape" r:id="rId1"/>
  <rowBreaks count="3" manualBreakCount="3">
    <brk id="22" max="16" man="1"/>
    <brk id="32" max="16" man="1"/>
    <brk id="50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295275</xdr:colOff>
                    <xdr:row>29</xdr:row>
                    <xdr:rowOff>76200</xdr:rowOff>
                  </from>
                  <to>
                    <xdr:col>7</xdr:col>
                    <xdr:colOff>723900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304800</xdr:colOff>
                    <xdr:row>30</xdr:row>
                    <xdr:rowOff>66675</xdr:rowOff>
                  </from>
                  <to>
                    <xdr:col>7</xdr:col>
                    <xdr:colOff>733425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114300</xdr:colOff>
                    <xdr:row>32</xdr:row>
                    <xdr:rowOff>219075</xdr:rowOff>
                  </from>
                  <to>
                    <xdr:col>2</xdr:col>
                    <xdr:colOff>533400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104775</xdr:colOff>
                    <xdr:row>33</xdr:row>
                    <xdr:rowOff>228600</xdr:rowOff>
                  </from>
                  <to>
                    <xdr:col>2</xdr:col>
                    <xdr:colOff>523875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34</xdr:row>
                    <xdr:rowOff>238125</xdr:rowOff>
                  </from>
                  <to>
                    <xdr:col>2</xdr:col>
                    <xdr:colOff>523875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228600</xdr:rowOff>
                  </from>
                  <to>
                    <xdr:col>7</xdr:col>
                    <xdr:colOff>723900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304800</xdr:colOff>
                    <xdr:row>43</xdr:row>
                    <xdr:rowOff>228600</xdr:rowOff>
                  </from>
                  <to>
                    <xdr:col>7</xdr:col>
                    <xdr:colOff>723900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304800</xdr:colOff>
                    <xdr:row>44</xdr:row>
                    <xdr:rowOff>228600</xdr:rowOff>
                  </from>
                  <to>
                    <xdr:col>7</xdr:col>
                    <xdr:colOff>723900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304800</xdr:colOff>
                    <xdr:row>46</xdr:row>
                    <xdr:rowOff>0</xdr:rowOff>
                  </from>
                  <to>
                    <xdr:col>7</xdr:col>
                    <xdr:colOff>723900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>
      <selection activeCell="E31" sqref="E31"/>
    </sheetView>
  </sheetViews>
  <sheetFormatPr defaultColWidth="9.140625" defaultRowHeight="15" x14ac:dyDescent="0.25"/>
  <cols>
    <col min="1" max="16384" width="9.140625" style="57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AT409"/>
  <sheetViews>
    <sheetView showGridLines="0" topLeftCell="A304" zoomScaleNormal="100" workbookViewId="0">
      <selection activeCell="G136" sqref="G136:J136"/>
    </sheetView>
  </sheetViews>
  <sheetFormatPr defaultColWidth="8.85546875" defaultRowHeight="15" x14ac:dyDescent="0.25"/>
  <cols>
    <col min="1" max="1" width="3.42578125" style="180" customWidth="1"/>
    <col min="2" max="2" width="81.85546875" style="117" customWidth="1"/>
    <col min="3" max="3" width="19.85546875" style="117" customWidth="1"/>
    <col min="4" max="4" width="1.140625" style="117" customWidth="1"/>
    <col min="5" max="5" width="17.42578125" style="138" customWidth="1"/>
    <col min="6" max="6" width="1.140625" style="138" customWidth="1"/>
    <col min="7" max="7" width="15.28515625" style="129" customWidth="1"/>
    <col min="8" max="8" width="15.28515625" style="117" customWidth="1"/>
    <col min="9" max="9" width="13.7109375" style="117" customWidth="1"/>
    <col min="10" max="17" width="10.7109375" style="117" customWidth="1"/>
    <col min="18" max="18" width="9.85546875" style="117" customWidth="1"/>
    <col min="19" max="20" width="8.85546875" style="29"/>
  </cols>
  <sheetData>
    <row r="1" spans="1:17" x14ac:dyDescent="0.25">
      <c r="A1" s="133"/>
      <c r="B1" s="116"/>
      <c r="C1" s="116"/>
      <c r="D1" s="116"/>
      <c r="E1" s="114"/>
      <c r="F1" s="114"/>
      <c r="G1" s="119"/>
      <c r="H1" s="116"/>
      <c r="I1" s="116"/>
      <c r="J1" s="116"/>
    </row>
    <row r="2" spans="1:17" ht="35.25" customHeight="1" x14ac:dyDescent="0.25">
      <c r="B2" s="665" t="s">
        <v>16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120"/>
    </row>
    <row r="3" spans="1:17" x14ac:dyDescent="0.25">
      <c r="A3" s="133"/>
      <c r="B3" s="225" t="s">
        <v>198</v>
      </c>
      <c r="C3" s="225" t="s">
        <v>388</v>
      </c>
      <c r="D3" s="225"/>
      <c r="E3" s="204"/>
      <c r="F3" s="204"/>
      <c r="G3" s="127"/>
      <c r="H3" s="126"/>
      <c r="I3" s="126"/>
      <c r="J3" s="126"/>
      <c r="K3" s="128"/>
      <c r="L3" s="128"/>
      <c r="M3" s="128"/>
      <c r="N3" s="128"/>
      <c r="O3" s="128"/>
      <c r="P3" s="128"/>
    </row>
    <row r="4" spans="1:17" ht="15" customHeight="1" x14ac:dyDescent="0.25">
      <c r="A4" s="133"/>
      <c r="B4" s="179" t="s">
        <v>199</v>
      </c>
      <c r="C4" s="675" t="s">
        <v>390</v>
      </c>
      <c r="D4" s="675"/>
      <c r="E4" s="675"/>
      <c r="F4" s="675"/>
      <c r="G4" s="675"/>
      <c r="H4" s="675"/>
      <c r="I4" s="675"/>
      <c r="J4" s="675"/>
      <c r="K4" s="392"/>
      <c r="L4" s="392"/>
      <c r="M4" s="392"/>
      <c r="N4" s="392"/>
      <c r="O4" s="392"/>
      <c r="P4" s="392"/>
    </row>
    <row r="5" spans="1:17" ht="15" customHeight="1" x14ac:dyDescent="0.25">
      <c r="A5" s="133"/>
      <c r="B5" s="179" t="s">
        <v>200</v>
      </c>
      <c r="C5" s="675"/>
      <c r="D5" s="675"/>
      <c r="E5" s="675"/>
      <c r="F5" s="675"/>
      <c r="G5" s="675"/>
      <c r="H5" s="675"/>
      <c r="I5" s="675"/>
      <c r="J5" s="675"/>
      <c r="K5" s="154"/>
      <c r="L5" s="393"/>
      <c r="M5" s="393"/>
      <c r="N5" s="393"/>
      <c r="O5" s="393"/>
      <c r="P5" s="393"/>
    </row>
    <row r="6" spans="1:17" ht="15" customHeight="1" x14ac:dyDescent="0.25">
      <c r="A6" s="133"/>
      <c r="B6" s="179" t="s">
        <v>403</v>
      </c>
      <c r="C6" s="667" t="s">
        <v>398</v>
      </c>
      <c r="D6" s="667"/>
      <c r="E6" s="667"/>
      <c r="F6" s="667"/>
      <c r="G6" s="667"/>
      <c r="H6" s="667"/>
      <c r="I6" s="667"/>
      <c r="J6" s="667"/>
      <c r="K6" s="393"/>
      <c r="L6" s="393"/>
      <c r="M6" s="393"/>
      <c r="N6" s="393"/>
      <c r="O6" s="393"/>
      <c r="P6" s="393"/>
    </row>
    <row r="7" spans="1:17" ht="15" customHeight="1" x14ac:dyDescent="0.25">
      <c r="A7" s="187"/>
      <c r="B7" s="179" t="s">
        <v>80</v>
      </c>
      <c r="C7" s="675" t="s">
        <v>410</v>
      </c>
      <c r="D7" s="675"/>
      <c r="E7" s="675"/>
      <c r="F7" s="675"/>
      <c r="G7" s="675"/>
      <c r="H7" s="675"/>
      <c r="I7" s="675"/>
      <c r="J7" s="675"/>
      <c r="K7" s="393"/>
      <c r="L7" s="393"/>
      <c r="M7" s="393"/>
      <c r="N7" s="393"/>
      <c r="O7" s="393"/>
      <c r="P7" s="393"/>
    </row>
    <row r="8" spans="1:17" ht="15" customHeight="1" x14ac:dyDescent="0.25">
      <c r="A8" s="187"/>
      <c r="B8" s="179" t="s">
        <v>201</v>
      </c>
      <c r="C8" s="445"/>
      <c r="D8" s="446"/>
      <c r="E8" s="446"/>
      <c r="F8" s="446"/>
      <c r="G8" s="446"/>
      <c r="H8" s="446"/>
      <c r="I8" s="446"/>
      <c r="J8" s="446"/>
      <c r="K8" s="392"/>
      <c r="L8" s="392"/>
      <c r="M8" s="392"/>
      <c r="N8" s="392"/>
      <c r="O8" s="392"/>
      <c r="P8" s="392"/>
    </row>
    <row r="9" spans="1:17" ht="15" customHeight="1" x14ac:dyDescent="0.25">
      <c r="A9" s="187"/>
      <c r="B9" s="179" t="s">
        <v>381</v>
      </c>
      <c r="C9" s="675" t="s">
        <v>389</v>
      </c>
      <c r="D9" s="675"/>
      <c r="E9" s="675"/>
      <c r="F9" s="675"/>
      <c r="G9" s="675"/>
      <c r="H9" s="675"/>
      <c r="I9" s="675"/>
      <c r="J9" s="675"/>
      <c r="K9" s="393"/>
      <c r="L9" s="393"/>
      <c r="M9" s="393"/>
      <c r="N9" s="393"/>
      <c r="O9" s="393"/>
      <c r="P9" s="393"/>
    </row>
    <row r="10" spans="1:17" x14ac:dyDescent="0.25">
      <c r="A10" s="133"/>
      <c r="B10" s="179" t="s">
        <v>202</v>
      </c>
      <c r="C10" s="675"/>
      <c r="D10" s="675"/>
      <c r="E10" s="675"/>
      <c r="F10" s="675"/>
      <c r="G10" s="675"/>
      <c r="H10" s="675"/>
      <c r="I10" s="675"/>
      <c r="J10" s="675"/>
      <c r="K10" s="393"/>
      <c r="L10" s="393"/>
      <c r="M10" s="393"/>
      <c r="N10" s="393"/>
      <c r="O10" s="393"/>
      <c r="P10" s="393"/>
    </row>
    <row r="11" spans="1:17" ht="15" customHeight="1" x14ac:dyDescent="0.25">
      <c r="A11" s="133"/>
      <c r="B11" s="179" t="s">
        <v>203</v>
      </c>
      <c r="C11" s="675"/>
      <c r="D11" s="675"/>
      <c r="E11" s="675"/>
      <c r="F11" s="675"/>
      <c r="G11" s="675"/>
      <c r="H11" s="675"/>
      <c r="I11" s="675"/>
      <c r="J11" s="675"/>
    </row>
    <row r="12" spans="1:17" ht="15" customHeight="1" x14ac:dyDescent="0.25">
      <c r="A12" s="133"/>
      <c r="B12" s="179" t="s">
        <v>204</v>
      </c>
      <c r="C12" s="445"/>
      <c r="D12" s="446"/>
      <c r="E12" s="446"/>
      <c r="F12" s="446"/>
      <c r="G12" s="446"/>
      <c r="H12" s="446"/>
      <c r="I12" s="446"/>
      <c r="J12" s="446"/>
    </row>
    <row r="13" spans="1:17" ht="15" customHeight="1" x14ac:dyDescent="0.25">
      <c r="A13" s="133"/>
      <c r="B13" s="179" t="s">
        <v>382</v>
      </c>
      <c r="C13" s="675" t="s">
        <v>391</v>
      </c>
      <c r="D13" s="675"/>
      <c r="E13" s="675"/>
      <c r="F13" s="675"/>
      <c r="G13" s="675"/>
      <c r="H13" s="675"/>
      <c r="I13" s="675"/>
      <c r="J13" s="675"/>
    </row>
    <row r="14" spans="1:17" x14ac:dyDescent="0.25">
      <c r="A14" s="133"/>
      <c r="B14" s="179" t="s">
        <v>384</v>
      </c>
      <c r="C14" s="675"/>
      <c r="D14" s="675"/>
      <c r="E14" s="675"/>
      <c r="F14" s="675"/>
      <c r="G14" s="675"/>
      <c r="H14" s="675"/>
      <c r="I14" s="675"/>
      <c r="J14" s="675"/>
    </row>
    <row r="15" spans="1:17" x14ac:dyDescent="0.25">
      <c r="A15" s="133"/>
      <c r="B15" s="116"/>
      <c r="C15" s="675"/>
      <c r="D15" s="675"/>
      <c r="E15" s="675"/>
      <c r="F15" s="675"/>
      <c r="G15" s="675"/>
      <c r="H15" s="675"/>
      <c r="I15" s="675"/>
      <c r="J15" s="675"/>
    </row>
    <row r="16" spans="1:17" x14ac:dyDescent="0.25">
      <c r="A16" s="133"/>
      <c r="B16" s="146" t="s">
        <v>150</v>
      </c>
      <c r="C16" s="146"/>
      <c r="D16" s="146"/>
      <c r="E16" s="203"/>
      <c r="F16" s="203"/>
      <c r="G16" s="123"/>
      <c r="H16" s="122"/>
      <c r="I16" s="122"/>
      <c r="J16" s="122"/>
      <c r="K16" s="124"/>
      <c r="L16" s="124"/>
      <c r="M16" s="124"/>
      <c r="N16" s="124"/>
      <c r="O16" s="124"/>
      <c r="P16" s="124"/>
    </row>
    <row r="17" spans="1:46" x14ac:dyDescent="0.25">
      <c r="A17" s="133"/>
      <c r="B17" s="125"/>
      <c r="C17" s="125"/>
      <c r="D17" s="125"/>
      <c r="E17" s="204"/>
      <c r="F17" s="204"/>
      <c r="G17" s="127"/>
      <c r="H17" s="126"/>
      <c r="I17" s="126"/>
      <c r="J17" s="126"/>
      <c r="K17" s="128"/>
      <c r="L17" s="128"/>
      <c r="M17" s="128"/>
      <c r="N17" s="128"/>
      <c r="O17" s="128"/>
      <c r="P17" s="128"/>
    </row>
    <row r="18" spans="1:46" x14ac:dyDescent="0.25">
      <c r="B18" s="126" t="s">
        <v>17</v>
      </c>
      <c r="C18" s="126"/>
      <c r="D18" s="126"/>
      <c r="E18" s="431" t="str">
        <f>Заявка!D6</f>
        <v>Создание логистического центра по сбору, хранению, фасовке, упаковки овощей</v>
      </c>
      <c r="F18" s="209"/>
      <c r="G18" s="127"/>
      <c r="H18" s="126"/>
      <c r="I18" s="126"/>
      <c r="J18" s="126"/>
      <c r="K18" s="128"/>
      <c r="L18" s="128"/>
      <c r="M18" s="128"/>
      <c r="N18" s="128"/>
      <c r="O18" s="128"/>
      <c r="P18" s="128"/>
      <c r="Q18" s="128"/>
    </row>
    <row r="19" spans="1:46" x14ac:dyDescent="0.25">
      <c r="B19" s="126" t="s">
        <v>18</v>
      </c>
      <c r="C19" s="126"/>
      <c r="D19" s="126"/>
      <c r="E19" s="431" t="str">
        <f>Заявка!D8</f>
        <v>Бардымский муниципальный округ</v>
      </c>
      <c r="F19" s="209"/>
      <c r="G19" s="127"/>
      <c r="H19" s="126"/>
      <c r="I19" s="126"/>
      <c r="J19" s="126"/>
      <c r="K19" s="128"/>
      <c r="L19" s="128"/>
      <c r="M19" s="128"/>
      <c r="N19" s="128"/>
      <c r="O19" s="128"/>
      <c r="P19" s="128"/>
      <c r="Q19" s="128"/>
    </row>
    <row r="20" spans="1:46" x14ac:dyDescent="0.25">
      <c r="B20" s="126" t="s">
        <v>19</v>
      </c>
      <c r="C20" s="126"/>
      <c r="D20" s="126"/>
      <c r="E20" s="292">
        <v>44711</v>
      </c>
      <c r="F20" s="127"/>
      <c r="G20" s="127"/>
      <c r="H20" s="126"/>
      <c r="I20" s="126"/>
      <c r="J20" s="126"/>
      <c r="K20" s="128"/>
      <c r="L20" s="128"/>
      <c r="M20" s="128"/>
      <c r="N20" s="128"/>
      <c r="O20" s="128"/>
      <c r="P20" s="128"/>
      <c r="Q20" s="128"/>
    </row>
    <row r="22" spans="1:46" x14ac:dyDescent="0.25">
      <c r="B22" s="146" t="s">
        <v>20</v>
      </c>
      <c r="C22" s="146"/>
      <c r="D22" s="146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29"/>
    </row>
    <row r="23" spans="1:46" x14ac:dyDescent="0.25">
      <c r="A23" s="182"/>
      <c r="B23" s="130"/>
      <c r="C23" s="130"/>
      <c r="D23" s="130"/>
      <c r="E23" s="129"/>
      <c r="F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46" x14ac:dyDescent="0.25">
      <c r="A24" s="133"/>
      <c r="B24" s="131"/>
      <c r="C24" s="131"/>
      <c r="D24" s="131"/>
      <c r="E24" s="114"/>
      <c r="F24" s="114"/>
      <c r="G24" s="132">
        <v>2022</v>
      </c>
      <c r="H24" s="132">
        <v>2023</v>
      </c>
      <c r="I24" s="132">
        <v>2024</v>
      </c>
      <c r="J24" s="132">
        <v>2025</v>
      </c>
      <c r="K24" s="132">
        <v>2026</v>
      </c>
      <c r="L24" s="132">
        <v>2027</v>
      </c>
      <c r="M24" s="132">
        <v>2028</v>
      </c>
      <c r="N24" s="132">
        <v>2029</v>
      </c>
      <c r="O24" s="132">
        <v>2030</v>
      </c>
      <c r="P24" s="132">
        <v>2031</v>
      </c>
    </row>
    <row r="25" spans="1:46" x14ac:dyDescent="0.25">
      <c r="A25" s="133"/>
      <c r="B25" s="117" t="s">
        <v>165</v>
      </c>
      <c r="E25" s="114" t="s">
        <v>14</v>
      </c>
      <c r="F25" s="114"/>
      <c r="G25" s="148">
        <v>0.17</v>
      </c>
      <c r="H25" s="148">
        <v>6.7000000000000004E-2</v>
      </c>
      <c r="I25" s="148">
        <v>0.05</v>
      </c>
      <c r="J25" s="148">
        <v>0.04</v>
      </c>
      <c r="K25" s="148">
        <v>0.04</v>
      </c>
      <c r="L25" s="148">
        <v>0.04</v>
      </c>
      <c r="M25" s="148">
        <v>0.04</v>
      </c>
      <c r="N25" s="148">
        <v>0.04</v>
      </c>
      <c r="O25" s="148">
        <v>0.04</v>
      </c>
      <c r="P25" s="148">
        <v>0.04</v>
      </c>
    </row>
    <row r="26" spans="1:46" x14ac:dyDescent="0.25">
      <c r="A26" s="133"/>
      <c r="B26" s="117" t="s">
        <v>21</v>
      </c>
      <c r="E26" s="114" t="s">
        <v>14</v>
      </c>
      <c r="F26" s="114"/>
      <c r="G26" s="149">
        <v>0.1</v>
      </c>
      <c r="H26" s="149">
        <v>7.0000000000000007E-2</v>
      </c>
      <c r="I26" s="149">
        <v>6.7000000000000004E-2</v>
      </c>
      <c r="J26" s="149">
        <v>6.2E-2</v>
      </c>
      <c r="K26" s="149">
        <v>0.04</v>
      </c>
      <c r="L26" s="149">
        <v>0.04</v>
      </c>
      <c r="M26" s="149">
        <v>0.04</v>
      </c>
      <c r="N26" s="149">
        <v>0.04</v>
      </c>
      <c r="O26" s="149">
        <v>0.04</v>
      </c>
      <c r="P26" s="149">
        <v>0.04</v>
      </c>
    </row>
    <row r="27" spans="1:46" x14ac:dyDescent="0.25">
      <c r="A27" s="133"/>
      <c r="B27" s="131"/>
      <c r="C27" s="131"/>
      <c r="D27" s="131"/>
      <c r="E27" s="119" t="s">
        <v>22</v>
      </c>
      <c r="F27" s="119"/>
      <c r="G27" s="664" t="s">
        <v>23</v>
      </c>
      <c r="H27" s="664"/>
      <c r="I27" s="664"/>
      <c r="J27" s="664"/>
      <c r="K27" s="664"/>
      <c r="L27" s="664"/>
      <c r="M27" s="664"/>
      <c r="N27" s="664"/>
    </row>
    <row r="28" spans="1:46" x14ac:dyDescent="0.25">
      <c r="A28" s="133"/>
      <c r="B28" s="131"/>
      <c r="C28" s="131"/>
      <c r="D28" s="131"/>
      <c r="E28" s="119"/>
      <c r="F28" s="119"/>
      <c r="G28" s="365"/>
      <c r="H28" s="365"/>
      <c r="I28" s="365"/>
      <c r="J28" s="365"/>
      <c r="K28" s="365"/>
      <c r="L28" s="365"/>
      <c r="M28" s="365"/>
      <c r="N28" s="365"/>
    </row>
    <row r="29" spans="1:46" x14ac:dyDescent="0.25">
      <c r="A29" s="133"/>
      <c r="B29" s="115" t="s">
        <v>430</v>
      </c>
      <c r="C29" s="131"/>
      <c r="D29" s="131"/>
      <c r="E29" s="119" t="s">
        <v>14</v>
      </c>
      <c r="F29" s="119"/>
      <c r="G29" s="287">
        <v>0.03</v>
      </c>
      <c r="H29" s="365"/>
      <c r="I29" s="365"/>
      <c r="J29" s="365"/>
      <c r="K29" s="365"/>
      <c r="L29" s="365"/>
      <c r="M29" s="365"/>
      <c r="N29" s="365"/>
    </row>
    <row r="30" spans="1:46" x14ac:dyDescent="0.25">
      <c r="A30" s="133"/>
      <c r="B30" s="131"/>
      <c r="C30" s="131"/>
      <c r="D30" s="131"/>
      <c r="E30" s="119"/>
      <c r="F30" s="119"/>
      <c r="G30" s="165"/>
      <c r="H30" s="165"/>
      <c r="I30" s="165"/>
      <c r="J30" s="165"/>
      <c r="K30" s="165"/>
      <c r="L30" s="165"/>
      <c r="M30" s="165"/>
      <c r="N30" s="165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</row>
    <row r="31" spans="1:46" x14ac:dyDescent="0.25">
      <c r="A31" s="133"/>
      <c r="B31" s="131"/>
      <c r="C31" s="131"/>
      <c r="D31" s="131"/>
      <c r="E31" s="119"/>
      <c r="F31" s="119"/>
      <c r="G31" s="474"/>
      <c r="H31" s="474"/>
      <c r="I31" s="474"/>
      <c r="J31" s="474"/>
      <c r="K31" s="474"/>
      <c r="L31" s="474"/>
      <c r="M31" s="474"/>
      <c r="N31" s="474"/>
    </row>
    <row r="32" spans="1:46" x14ac:dyDescent="0.25">
      <c r="A32" s="133"/>
      <c r="B32" s="153" t="s">
        <v>401</v>
      </c>
      <c r="C32" s="153"/>
      <c r="D32" s="153"/>
      <c r="E32" s="123"/>
      <c r="F32" s="123"/>
      <c r="G32" s="152"/>
      <c r="H32" s="152"/>
      <c r="I32" s="152"/>
      <c r="J32" s="152"/>
      <c r="K32" s="152"/>
      <c r="L32" s="152"/>
      <c r="M32" s="152"/>
      <c r="N32" s="152"/>
      <c r="O32" s="124"/>
      <c r="P32" s="124"/>
    </row>
    <row r="33" spans="1:20" x14ac:dyDescent="0.25">
      <c r="A33" s="133"/>
      <c r="B33" s="131"/>
      <c r="C33" s="131"/>
      <c r="D33" s="131"/>
      <c r="E33" s="119"/>
      <c r="F33" s="119"/>
      <c r="G33" s="151"/>
      <c r="H33" s="151"/>
      <c r="I33" s="151"/>
      <c r="J33" s="151"/>
      <c r="K33" s="151"/>
      <c r="L33" s="151"/>
      <c r="M33" s="151"/>
      <c r="N33" s="151"/>
    </row>
    <row r="34" spans="1:20" x14ac:dyDescent="0.25">
      <c r="A34" s="133"/>
      <c r="B34" s="115" t="s">
        <v>400</v>
      </c>
      <c r="C34" s="115"/>
      <c r="D34" s="115"/>
      <c r="E34" s="119" t="s">
        <v>25</v>
      </c>
      <c r="F34" s="119"/>
      <c r="G34" s="309">
        <v>12</v>
      </c>
      <c r="H34" s="151"/>
      <c r="I34" s="151"/>
      <c r="J34" s="151"/>
      <c r="K34" s="151"/>
      <c r="L34" s="151"/>
      <c r="M34" s="151"/>
      <c r="N34" s="151"/>
    </row>
    <row r="35" spans="1:20" x14ac:dyDescent="0.25">
      <c r="A35" s="133"/>
      <c r="B35" s="115" t="s">
        <v>402</v>
      </c>
      <c r="C35" s="115"/>
      <c r="D35" s="115"/>
      <c r="E35" s="119" t="s">
        <v>319</v>
      </c>
      <c r="F35" s="119"/>
      <c r="G35" s="309">
        <v>365</v>
      </c>
      <c r="H35" s="422"/>
      <c r="I35" s="422"/>
      <c r="J35" s="422"/>
      <c r="K35" s="422"/>
      <c r="L35" s="422"/>
      <c r="M35" s="422"/>
      <c r="N35" s="422"/>
    </row>
    <row r="36" spans="1:20" x14ac:dyDescent="0.25">
      <c r="A36" s="133"/>
      <c r="B36" s="131"/>
      <c r="C36" s="131"/>
      <c r="D36" s="131"/>
      <c r="E36" s="119"/>
      <c r="F36" s="119"/>
      <c r="G36" s="151"/>
      <c r="H36" s="151"/>
      <c r="I36" s="151"/>
      <c r="J36" s="151"/>
      <c r="K36" s="151"/>
      <c r="L36" s="151"/>
      <c r="M36" s="151"/>
      <c r="N36" s="151"/>
    </row>
    <row r="37" spans="1:20" x14ac:dyDescent="0.25">
      <c r="B37" s="146" t="s">
        <v>24</v>
      </c>
      <c r="C37" s="146"/>
      <c r="D37" s="146"/>
      <c r="E37" s="205"/>
      <c r="F37" s="205"/>
      <c r="G37" s="150"/>
      <c r="H37" s="121"/>
      <c r="I37" s="121"/>
      <c r="J37" s="121"/>
      <c r="K37" s="121"/>
      <c r="L37" s="121"/>
      <c r="M37" s="121"/>
      <c r="N37" s="121"/>
      <c r="O37" s="121"/>
      <c r="P37" s="121"/>
      <c r="Q37" s="135"/>
    </row>
    <row r="39" spans="1:20" x14ac:dyDescent="0.25">
      <c r="B39" s="162" t="s">
        <v>420</v>
      </c>
      <c r="C39" s="162"/>
      <c r="D39" s="162"/>
      <c r="E39" s="137"/>
      <c r="F39" s="137"/>
    </row>
    <row r="40" spans="1:20" x14ac:dyDescent="0.25">
      <c r="B40" s="160" t="s">
        <v>163</v>
      </c>
      <c r="C40" s="160"/>
      <c r="D40" s="160"/>
      <c r="E40" s="161" t="s">
        <v>161</v>
      </c>
      <c r="F40" s="161"/>
      <c r="G40" s="132">
        <f t="shared" ref="G40:P40" si="0">G24</f>
        <v>2022</v>
      </c>
      <c r="H40" s="132">
        <f t="shared" si="0"/>
        <v>2023</v>
      </c>
      <c r="I40" s="132">
        <f t="shared" si="0"/>
        <v>2024</v>
      </c>
      <c r="J40" s="132">
        <f t="shared" si="0"/>
        <v>2025</v>
      </c>
      <c r="K40" s="132">
        <f t="shared" si="0"/>
        <v>2026</v>
      </c>
      <c r="L40" s="132">
        <f t="shared" si="0"/>
        <v>2027</v>
      </c>
      <c r="M40" s="132">
        <f t="shared" si="0"/>
        <v>2028</v>
      </c>
      <c r="N40" s="132">
        <f t="shared" si="0"/>
        <v>2029</v>
      </c>
      <c r="O40" s="132">
        <f t="shared" si="0"/>
        <v>2030</v>
      </c>
      <c r="P40" s="132">
        <f t="shared" si="0"/>
        <v>2031</v>
      </c>
    </row>
    <row r="41" spans="1:20" x14ac:dyDescent="0.25">
      <c r="B41" s="668" t="s">
        <v>518</v>
      </c>
      <c r="C41" s="669"/>
      <c r="D41" s="160"/>
      <c r="E41" s="167" t="s">
        <v>519</v>
      </c>
      <c r="F41" s="161"/>
      <c r="G41" s="154">
        <v>0</v>
      </c>
      <c r="H41" s="154">
        <v>4000</v>
      </c>
      <c r="I41" s="154">
        <v>4300</v>
      </c>
      <c r="J41" s="154">
        <v>4600</v>
      </c>
      <c r="K41" s="154">
        <v>4900</v>
      </c>
      <c r="L41" s="154">
        <v>5200</v>
      </c>
      <c r="M41" s="154">
        <v>5500</v>
      </c>
      <c r="N41" s="154">
        <v>5800</v>
      </c>
      <c r="O41" s="154">
        <v>6100</v>
      </c>
      <c r="P41" s="154">
        <v>6500</v>
      </c>
    </row>
    <row r="42" spans="1:20" x14ac:dyDescent="0.25">
      <c r="B42" s="668"/>
      <c r="C42" s="669"/>
      <c r="D42" s="160"/>
      <c r="E42" s="167"/>
      <c r="F42" s="161"/>
      <c r="G42" s="154"/>
      <c r="H42" s="154"/>
      <c r="I42" s="154"/>
      <c r="J42" s="154"/>
      <c r="K42" s="154"/>
      <c r="L42" s="154"/>
      <c r="M42" s="154"/>
      <c r="N42" s="154"/>
      <c r="O42" s="154"/>
      <c r="P42" s="154"/>
    </row>
    <row r="43" spans="1:20" x14ac:dyDescent="0.25">
      <c r="B43" s="668"/>
      <c r="C43" s="669"/>
      <c r="D43" s="160"/>
      <c r="E43" s="167"/>
      <c r="F43" s="161"/>
      <c r="G43" s="154"/>
      <c r="H43" s="154"/>
      <c r="I43" s="154"/>
      <c r="J43" s="154"/>
      <c r="K43" s="154"/>
      <c r="L43" s="154"/>
      <c r="M43" s="154"/>
      <c r="N43" s="154"/>
      <c r="O43" s="154"/>
      <c r="P43" s="154"/>
    </row>
    <row r="44" spans="1:20" x14ac:dyDescent="0.25">
      <c r="A44" s="180" t="s">
        <v>154</v>
      </c>
      <c r="B44" s="662"/>
      <c r="C44" s="662"/>
      <c r="D44" s="160"/>
      <c r="E44" s="167"/>
      <c r="F44" s="161"/>
      <c r="G44" s="154"/>
      <c r="H44" s="154"/>
      <c r="I44" s="154"/>
      <c r="J44" s="154"/>
      <c r="K44" s="154"/>
      <c r="L44" s="154"/>
      <c r="M44" s="154"/>
      <c r="N44" s="154"/>
      <c r="O44" s="154"/>
      <c r="P44" s="154"/>
    </row>
    <row r="45" spans="1:20" s="159" customFormat="1" x14ac:dyDescent="0.25">
      <c r="A45" s="181" t="s">
        <v>155</v>
      </c>
      <c r="B45" s="662"/>
      <c r="C45" s="662"/>
      <c r="D45" s="160"/>
      <c r="E45" s="167"/>
      <c r="F45" s="161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28"/>
      <c r="R45" s="128"/>
      <c r="S45" s="158"/>
      <c r="T45" s="158"/>
    </row>
    <row r="46" spans="1:20" s="159" customFormat="1" x14ac:dyDescent="0.25">
      <c r="A46" s="181" t="s">
        <v>156</v>
      </c>
      <c r="B46" s="662"/>
      <c r="C46" s="662"/>
      <c r="D46" s="160"/>
      <c r="E46" s="167"/>
      <c r="F46" s="161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28"/>
      <c r="R46" s="128"/>
      <c r="S46" s="158"/>
      <c r="T46" s="158"/>
    </row>
    <row r="47" spans="1:20" s="159" customFormat="1" x14ac:dyDescent="0.25">
      <c r="A47" s="181" t="s">
        <v>157</v>
      </c>
      <c r="B47" s="662"/>
      <c r="C47" s="662"/>
      <c r="D47" s="160"/>
      <c r="E47" s="167"/>
      <c r="F47" s="161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28"/>
      <c r="R47" s="128"/>
      <c r="S47" s="158"/>
      <c r="T47" s="158"/>
    </row>
    <row r="48" spans="1:20" s="159" customFormat="1" x14ac:dyDescent="0.25">
      <c r="A48" s="181" t="s">
        <v>158</v>
      </c>
      <c r="B48" s="662"/>
      <c r="C48" s="662"/>
      <c r="D48" s="160"/>
      <c r="E48" s="167"/>
      <c r="F48" s="161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28"/>
      <c r="R48" s="128"/>
      <c r="S48" s="158"/>
      <c r="T48" s="158"/>
    </row>
    <row r="49" spans="1:20" s="159" customFormat="1" x14ac:dyDescent="0.25">
      <c r="A49" s="181" t="s">
        <v>159</v>
      </c>
      <c r="B49" s="662"/>
      <c r="C49" s="662"/>
      <c r="D49" s="160"/>
      <c r="E49" s="167"/>
      <c r="F49" s="161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28"/>
      <c r="R49" s="128"/>
      <c r="S49" s="158"/>
      <c r="T49" s="158"/>
    </row>
    <row r="50" spans="1:20" s="159" customFormat="1" x14ac:dyDescent="0.25">
      <c r="A50" s="181" t="s">
        <v>160</v>
      </c>
      <c r="B50" s="662"/>
      <c r="C50" s="662"/>
      <c r="D50" s="160"/>
      <c r="E50" s="167"/>
      <c r="F50" s="161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28"/>
      <c r="R50" s="128"/>
      <c r="S50" s="158"/>
      <c r="T50" s="158"/>
    </row>
    <row r="51" spans="1:20" x14ac:dyDescent="0.25">
      <c r="G51" s="428">
        <f>IF(SUM(G41:G50)=0,1,0)</f>
        <v>1</v>
      </c>
      <c r="H51" s="428">
        <f t="shared" ref="H51:P51" si="1">IF(SUM(H41:H50)=0,1,0)</f>
        <v>0</v>
      </c>
      <c r="I51" s="428">
        <f t="shared" si="1"/>
        <v>0</v>
      </c>
      <c r="J51" s="428">
        <f t="shared" si="1"/>
        <v>0</v>
      </c>
      <c r="K51" s="428">
        <f t="shared" si="1"/>
        <v>0</v>
      </c>
      <c r="L51" s="428">
        <f t="shared" si="1"/>
        <v>0</v>
      </c>
      <c r="M51" s="428">
        <f t="shared" si="1"/>
        <v>0</v>
      </c>
      <c r="N51" s="428">
        <f t="shared" si="1"/>
        <v>0</v>
      </c>
      <c r="O51" s="428">
        <f t="shared" si="1"/>
        <v>0</v>
      </c>
      <c r="P51" s="428">
        <f t="shared" si="1"/>
        <v>0</v>
      </c>
    </row>
    <row r="52" spans="1:20" x14ac:dyDescent="0.25">
      <c r="B52" s="162" t="s">
        <v>164</v>
      </c>
      <c r="C52" s="162"/>
      <c r="D52" s="162"/>
      <c r="G52" s="138"/>
    </row>
    <row r="53" spans="1:20" ht="30.75" customHeight="1" x14ac:dyDescent="0.25">
      <c r="B53" s="160" t="s">
        <v>163</v>
      </c>
      <c r="C53" s="156"/>
      <c r="D53" s="156"/>
      <c r="E53" s="161" t="s">
        <v>161</v>
      </c>
      <c r="F53" s="161"/>
      <c r="G53" s="370" t="s">
        <v>379</v>
      </c>
    </row>
    <row r="54" spans="1:20" x14ac:dyDescent="0.25">
      <c r="A54" s="180" t="s">
        <v>151</v>
      </c>
      <c r="B54" s="663" t="str">
        <f>B41</f>
        <v>Овощи</v>
      </c>
      <c r="C54" s="663"/>
      <c r="D54" s="330"/>
      <c r="E54" s="216" t="str">
        <f>"тыс.руб./"&amp;+E41</f>
        <v>тыс.руб./т</v>
      </c>
      <c r="F54" s="161"/>
      <c r="G54" s="154">
        <v>40</v>
      </c>
    </row>
    <row r="55" spans="1:20" x14ac:dyDescent="0.25">
      <c r="A55" s="180" t="s">
        <v>152</v>
      </c>
      <c r="B55" s="663">
        <f t="shared" ref="B55:B63" si="2">B42</f>
        <v>0</v>
      </c>
      <c r="C55" s="663"/>
      <c r="D55" s="330"/>
      <c r="E55" s="216" t="str">
        <f t="shared" ref="E55:E62" si="3">"тыс.руб./"&amp;+E42</f>
        <v>тыс.руб./</v>
      </c>
      <c r="F55" s="161"/>
      <c r="G55" s="154"/>
    </row>
    <row r="56" spans="1:20" x14ac:dyDescent="0.25">
      <c r="A56" s="180" t="s">
        <v>153</v>
      </c>
      <c r="B56" s="663">
        <f t="shared" si="2"/>
        <v>0</v>
      </c>
      <c r="C56" s="663"/>
      <c r="D56" s="330"/>
      <c r="E56" s="216" t="str">
        <f t="shared" si="3"/>
        <v>тыс.руб./</v>
      </c>
      <c r="F56" s="161"/>
      <c r="G56" s="154"/>
    </row>
    <row r="57" spans="1:20" x14ac:dyDescent="0.25">
      <c r="A57" s="180" t="s">
        <v>154</v>
      </c>
      <c r="B57" s="663">
        <f t="shared" si="2"/>
        <v>0</v>
      </c>
      <c r="C57" s="663"/>
      <c r="D57" s="330"/>
      <c r="E57" s="216" t="str">
        <f>"тыс.руб./"&amp;+E44</f>
        <v>тыс.руб./</v>
      </c>
      <c r="F57" s="161"/>
      <c r="G57" s="154"/>
    </row>
    <row r="58" spans="1:20" x14ac:dyDescent="0.25">
      <c r="A58" s="181" t="s">
        <v>155</v>
      </c>
      <c r="B58" s="663">
        <f t="shared" si="2"/>
        <v>0</v>
      </c>
      <c r="C58" s="663"/>
      <c r="D58" s="330"/>
      <c r="E58" s="216" t="str">
        <f t="shared" si="3"/>
        <v>тыс.руб./</v>
      </c>
      <c r="F58" s="161"/>
      <c r="G58" s="154"/>
    </row>
    <row r="59" spans="1:20" x14ac:dyDescent="0.25">
      <c r="A59" s="181" t="s">
        <v>156</v>
      </c>
      <c r="B59" s="663">
        <f t="shared" si="2"/>
        <v>0</v>
      </c>
      <c r="C59" s="663"/>
      <c r="D59" s="330"/>
      <c r="E59" s="216" t="str">
        <f t="shared" si="3"/>
        <v>тыс.руб./</v>
      </c>
      <c r="F59" s="161"/>
      <c r="G59" s="154"/>
    </row>
    <row r="60" spans="1:20" x14ac:dyDescent="0.25">
      <c r="A60" s="181" t="s">
        <v>157</v>
      </c>
      <c r="B60" s="663">
        <f t="shared" si="2"/>
        <v>0</v>
      </c>
      <c r="C60" s="663"/>
      <c r="D60" s="330"/>
      <c r="E60" s="216" t="str">
        <f t="shared" si="3"/>
        <v>тыс.руб./</v>
      </c>
      <c r="F60" s="161"/>
      <c r="G60" s="154"/>
    </row>
    <row r="61" spans="1:20" x14ac:dyDescent="0.25">
      <c r="A61" s="181" t="s">
        <v>158</v>
      </c>
      <c r="B61" s="663">
        <f t="shared" si="2"/>
        <v>0</v>
      </c>
      <c r="C61" s="663"/>
      <c r="D61" s="330"/>
      <c r="E61" s="216" t="str">
        <f t="shared" si="3"/>
        <v>тыс.руб./</v>
      </c>
      <c r="F61" s="161"/>
      <c r="G61" s="154"/>
    </row>
    <row r="62" spans="1:20" x14ac:dyDescent="0.25">
      <c r="A62" s="181" t="s">
        <v>159</v>
      </c>
      <c r="B62" s="663">
        <f t="shared" si="2"/>
        <v>0</v>
      </c>
      <c r="C62" s="663"/>
      <c r="D62" s="330"/>
      <c r="E62" s="216" t="str">
        <f t="shared" si="3"/>
        <v>тыс.руб./</v>
      </c>
      <c r="F62" s="161"/>
      <c r="G62" s="154"/>
    </row>
    <row r="63" spans="1:20" x14ac:dyDescent="0.25">
      <c r="A63" s="181" t="s">
        <v>160</v>
      </c>
      <c r="B63" s="663">
        <f t="shared" si="2"/>
        <v>0</v>
      </c>
      <c r="C63" s="663"/>
      <c r="D63" s="330"/>
      <c r="E63" s="216" t="str">
        <f>"тыс.руб./"&amp;+E50</f>
        <v>тыс.руб./</v>
      </c>
      <c r="F63" s="161"/>
      <c r="G63" s="154"/>
    </row>
    <row r="64" spans="1:20" x14ac:dyDescent="0.25">
      <c r="G64" s="138"/>
    </row>
    <row r="65" spans="1:17" x14ac:dyDescent="0.25">
      <c r="B65" s="146" t="s">
        <v>166</v>
      </c>
      <c r="C65" s="146"/>
      <c r="D65" s="146"/>
      <c r="E65" s="205"/>
      <c r="F65" s="205"/>
      <c r="G65" s="150"/>
      <c r="H65" s="121"/>
      <c r="I65" s="121"/>
      <c r="J65" s="121"/>
      <c r="K65" s="121"/>
      <c r="L65" s="121"/>
      <c r="M65" s="121"/>
      <c r="N65" s="121"/>
      <c r="O65" s="121"/>
      <c r="P65" s="121"/>
      <c r="Q65" s="135"/>
    </row>
    <row r="67" spans="1:17" x14ac:dyDescent="0.25">
      <c r="B67" s="164" t="s">
        <v>181</v>
      </c>
      <c r="C67" s="164"/>
      <c r="D67" s="164"/>
    </row>
    <row r="68" spans="1:17" x14ac:dyDescent="0.25">
      <c r="B68" s="160" t="s">
        <v>167</v>
      </c>
      <c r="C68" s="160"/>
      <c r="D68" s="160"/>
      <c r="E68" s="161" t="s">
        <v>161</v>
      </c>
      <c r="F68" s="161"/>
      <c r="G68" s="132">
        <f t="shared" ref="G68:P68" si="4">G40</f>
        <v>2022</v>
      </c>
      <c r="H68" s="132">
        <f t="shared" si="4"/>
        <v>2023</v>
      </c>
      <c r="I68" s="132">
        <f t="shared" si="4"/>
        <v>2024</v>
      </c>
      <c r="J68" s="132">
        <f t="shared" si="4"/>
        <v>2025</v>
      </c>
      <c r="K68" s="132">
        <f t="shared" si="4"/>
        <v>2026</v>
      </c>
      <c r="L68" s="132">
        <f t="shared" si="4"/>
        <v>2027</v>
      </c>
      <c r="M68" s="132">
        <f t="shared" si="4"/>
        <v>2028</v>
      </c>
      <c r="N68" s="132">
        <f t="shared" si="4"/>
        <v>2029</v>
      </c>
      <c r="O68" s="132">
        <f t="shared" si="4"/>
        <v>2030</v>
      </c>
      <c r="P68" s="132">
        <f t="shared" si="4"/>
        <v>2031</v>
      </c>
    </row>
    <row r="69" spans="1:17" x14ac:dyDescent="0.25">
      <c r="A69" s="180" t="s">
        <v>151</v>
      </c>
      <c r="B69" s="668" t="s">
        <v>518</v>
      </c>
      <c r="C69" s="669"/>
      <c r="D69" s="160"/>
      <c r="E69" s="167" t="s">
        <v>519</v>
      </c>
      <c r="F69" s="161"/>
      <c r="G69" s="154">
        <v>0</v>
      </c>
      <c r="H69" s="154">
        <v>4000</v>
      </c>
      <c r="I69" s="154">
        <v>4300</v>
      </c>
      <c r="J69" s="154">
        <v>4600</v>
      </c>
      <c r="K69" s="154">
        <v>4900</v>
      </c>
      <c r="L69" s="154">
        <v>5200</v>
      </c>
      <c r="M69" s="154">
        <v>5500</v>
      </c>
      <c r="N69" s="154">
        <v>5800</v>
      </c>
      <c r="O69" s="154">
        <v>6100</v>
      </c>
      <c r="P69" s="154">
        <v>6500</v>
      </c>
    </row>
    <row r="70" spans="1:17" x14ac:dyDescent="0.25">
      <c r="A70" s="180" t="s">
        <v>152</v>
      </c>
      <c r="B70" s="668"/>
      <c r="C70" s="669"/>
      <c r="D70" s="160"/>
      <c r="E70" s="167"/>
      <c r="F70" s="161"/>
      <c r="G70" s="154"/>
      <c r="H70" s="154"/>
      <c r="I70" s="154"/>
      <c r="J70" s="154"/>
      <c r="K70" s="154"/>
      <c r="L70" s="154"/>
      <c r="M70" s="154"/>
      <c r="N70" s="154"/>
      <c r="O70" s="154"/>
      <c r="P70" s="154"/>
    </row>
    <row r="71" spans="1:17" x14ac:dyDescent="0.25">
      <c r="A71" s="180" t="s">
        <v>153</v>
      </c>
      <c r="B71" s="668"/>
      <c r="C71" s="669"/>
      <c r="D71" s="160"/>
      <c r="E71" s="167"/>
      <c r="F71" s="161"/>
      <c r="G71" s="154"/>
      <c r="H71" s="154"/>
      <c r="I71" s="154"/>
      <c r="J71" s="154"/>
      <c r="K71" s="154"/>
      <c r="L71" s="154"/>
      <c r="M71" s="154"/>
      <c r="N71" s="154"/>
      <c r="O71" s="154"/>
      <c r="P71" s="154"/>
    </row>
    <row r="72" spans="1:17" x14ac:dyDescent="0.25">
      <c r="A72" s="180" t="s">
        <v>154</v>
      </c>
      <c r="B72" s="662"/>
      <c r="C72" s="662"/>
      <c r="D72" s="160"/>
      <c r="E72" s="167"/>
      <c r="F72" s="161"/>
      <c r="G72" s="154"/>
      <c r="H72" s="154"/>
      <c r="I72" s="154"/>
      <c r="J72" s="154"/>
      <c r="K72" s="154"/>
      <c r="L72" s="154"/>
      <c r="M72" s="154"/>
      <c r="N72" s="154"/>
      <c r="O72" s="154"/>
      <c r="P72" s="154"/>
    </row>
    <row r="73" spans="1:17" x14ac:dyDescent="0.25">
      <c r="A73" s="181" t="s">
        <v>155</v>
      </c>
      <c r="B73" s="662"/>
      <c r="C73" s="662"/>
      <c r="D73" s="160"/>
      <c r="E73" s="167"/>
      <c r="F73" s="161"/>
      <c r="G73" s="154"/>
      <c r="H73" s="154"/>
      <c r="I73" s="154"/>
      <c r="J73" s="154"/>
      <c r="K73" s="154"/>
      <c r="L73" s="154"/>
      <c r="M73" s="154"/>
      <c r="N73" s="154"/>
      <c r="O73" s="154"/>
      <c r="P73" s="154"/>
    </row>
    <row r="74" spans="1:17" x14ac:dyDescent="0.25">
      <c r="A74" s="181" t="s">
        <v>156</v>
      </c>
      <c r="B74" s="662"/>
      <c r="C74" s="662"/>
      <c r="D74" s="160"/>
      <c r="E74" s="167"/>
      <c r="F74" s="161"/>
      <c r="G74" s="154"/>
      <c r="H74" s="154"/>
      <c r="I74" s="154"/>
      <c r="J74" s="154"/>
      <c r="K74" s="154"/>
      <c r="L74" s="154"/>
      <c r="M74" s="154"/>
      <c r="N74" s="154"/>
      <c r="O74" s="154"/>
      <c r="P74" s="154"/>
    </row>
    <row r="75" spans="1:17" x14ac:dyDescent="0.25">
      <c r="A75" s="181" t="s">
        <v>157</v>
      </c>
      <c r="B75" s="662"/>
      <c r="C75" s="662"/>
      <c r="D75" s="160"/>
      <c r="E75" s="167"/>
      <c r="F75" s="161"/>
      <c r="G75" s="154"/>
      <c r="H75" s="154"/>
      <c r="I75" s="154"/>
      <c r="J75" s="154"/>
      <c r="K75" s="154"/>
      <c r="L75" s="154"/>
      <c r="M75" s="154"/>
      <c r="N75" s="154"/>
      <c r="O75" s="154"/>
      <c r="P75" s="154"/>
    </row>
    <row r="76" spans="1:17" x14ac:dyDescent="0.25">
      <c r="A76" s="181" t="s">
        <v>158</v>
      </c>
      <c r="B76" s="662"/>
      <c r="C76" s="662"/>
      <c r="D76" s="160"/>
      <c r="E76" s="167"/>
      <c r="F76" s="161"/>
      <c r="G76" s="154"/>
      <c r="H76" s="154"/>
      <c r="I76" s="154"/>
      <c r="J76" s="154"/>
      <c r="K76" s="154"/>
      <c r="L76" s="154"/>
      <c r="M76" s="154"/>
      <c r="N76" s="154"/>
      <c r="O76" s="154"/>
      <c r="P76" s="154"/>
    </row>
    <row r="77" spans="1:17" x14ac:dyDescent="0.25">
      <c r="A77" s="181" t="s">
        <v>159</v>
      </c>
      <c r="B77" s="662"/>
      <c r="C77" s="662"/>
      <c r="D77" s="160"/>
      <c r="E77" s="167"/>
      <c r="F77" s="161"/>
      <c r="G77" s="154"/>
      <c r="H77" s="154"/>
      <c r="I77" s="154"/>
      <c r="J77" s="154"/>
      <c r="K77" s="154"/>
      <c r="L77" s="154"/>
      <c r="M77" s="154"/>
      <c r="N77" s="154"/>
      <c r="O77" s="154"/>
      <c r="P77" s="154"/>
    </row>
    <row r="78" spans="1:17" x14ac:dyDescent="0.25">
      <c r="A78" s="181" t="s">
        <v>160</v>
      </c>
      <c r="B78" s="662"/>
      <c r="C78" s="662"/>
      <c r="D78" s="160"/>
      <c r="E78" s="167"/>
      <c r="F78" s="161"/>
      <c r="G78" s="154"/>
      <c r="H78" s="154"/>
      <c r="I78" s="154"/>
      <c r="J78" s="154"/>
      <c r="K78" s="154"/>
      <c r="L78" s="154"/>
      <c r="M78" s="154"/>
      <c r="N78" s="154"/>
      <c r="O78" s="154"/>
      <c r="P78" s="154"/>
    </row>
    <row r="80" spans="1:17" x14ac:dyDescent="0.25">
      <c r="B80" s="164" t="s">
        <v>215</v>
      </c>
      <c r="C80" s="164"/>
      <c r="D80" s="164"/>
    </row>
    <row r="81" spans="1:18" ht="44.25" customHeight="1" x14ac:dyDescent="0.25">
      <c r="B81" s="160" t="s">
        <v>167</v>
      </c>
      <c r="C81" s="156"/>
      <c r="D81" s="156"/>
      <c r="E81" s="161" t="s">
        <v>161</v>
      </c>
      <c r="F81" s="161"/>
      <c r="G81" s="370" t="s">
        <v>379</v>
      </c>
      <c r="H81" s="132"/>
      <c r="I81" s="132"/>
      <c r="J81" s="132"/>
      <c r="K81" s="132"/>
      <c r="L81" s="132"/>
      <c r="M81" s="132"/>
      <c r="N81" s="132"/>
      <c r="O81" s="132"/>
      <c r="P81" s="132"/>
    </row>
    <row r="82" spans="1:18" x14ac:dyDescent="0.25">
      <c r="A82" s="180" t="s">
        <v>151</v>
      </c>
      <c r="B82" s="663" t="s">
        <v>520</v>
      </c>
      <c r="C82" s="663"/>
      <c r="D82" s="330"/>
      <c r="E82" s="216" t="str">
        <f t="shared" ref="E82" si="5">"тыс.руб./"&amp;E69</f>
        <v>тыс.руб./т</v>
      </c>
      <c r="F82" s="161"/>
      <c r="G82" s="154">
        <v>20</v>
      </c>
      <c r="H82" s="155"/>
      <c r="I82" s="155"/>
      <c r="J82" s="155"/>
      <c r="K82" s="155"/>
      <c r="L82" s="155"/>
      <c r="M82" s="155"/>
      <c r="N82" s="155"/>
      <c r="O82" s="155"/>
      <c r="P82" s="155"/>
      <c r="Q82" s="128"/>
      <c r="R82" s="128"/>
    </row>
    <row r="83" spans="1:18" x14ac:dyDescent="0.25">
      <c r="A83" s="180" t="s">
        <v>152</v>
      </c>
      <c r="B83" s="663"/>
      <c r="C83" s="663"/>
      <c r="D83" s="330"/>
      <c r="E83" s="216"/>
      <c r="F83" s="161"/>
      <c r="G83" s="154"/>
      <c r="H83" s="155"/>
      <c r="I83" s="155"/>
      <c r="J83" s="155"/>
      <c r="K83" s="155"/>
      <c r="L83" s="155"/>
      <c r="M83" s="155"/>
      <c r="N83" s="155"/>
      <c r="O83" s="155"/>
      <c r="P83" s="155"/>
      <c r="Q83" s="128"/>
      <c r="R83" s="128"/>
    </row>
    <row r="84" spans="1:18" x14ac:dyDescent="0.25">
      <c r="A84" s="180" t="s">
        <v>153</v>
      </c>
      <c r="B84" s="663"/>
      <c r="C84" s="663"/>
      <c r="D84" s="330"/>
      <c r="E84" s="216"/>
      <c r="F84" s="161"/>
      <c r="G84" s="154"/>
      <c r="H84" s="155"/>
      <c r="I84" s="155"/>
      <c r="J84" s="155"/>
      <c r="K84" s="155"/>
      <c r="L84" s="155"/>
      <c r="M84" s="155"/>
      <c r="N84" s="155"/>
      <c r="O84" s="155"/>
      <c r="P84" s="155"/>
      <c r="Q84" s="128"/>
      <c r="R84" s="128"/>
    </row>
    <row r="85" spans="1:18" x14ac:dyDescent="0.25">
      <c r="A85" s="180" t="s">
        <v>154</v>
      </c>
      <c r="B85" s="663">
        <f t="shared" ref="B85:B91" si="6">B72</f>
        <v>0</v>
      </c>
      <c r="C85" s="663"/>
      <c r="D85" s="330"/>
      <c r="E85" s="216" t="str">
        <f t="shared" ref="E85:E91" si="7">"тыс.руб./"&amp;E72</f>
        <v>тыс.руб./</v>
      </c>
      <c r="F85" s="161"/>
      <c r="G85" s="154"/>
      <c r="H85" s="155"/>
      <c r="I85" s="155"/>
      <c r="J85" s="155"/>
      <c r="K85" s="155"/>
      <c r="L85" s="155"/>
      <c r="M85" s="155"/>
      <c r="N85" s="155"/>
      <c r="O85" s="155"/>
      <c r="P85" s="155"/>
      <c r="Q85" s="128"/>
      <c r="R85" s="128"/>
    </row>
    <row r="86" spans="1:18" x14ac:dyDescent="0.25">
      <c r="A86" s="181" t="s">
        <v>155</v>
      </c>
      <c r="B86" s="663">
        <f t="shared" si="6"/>
        <v>0</v>
      </c>
      <c r="C86" s="663"/>
      <c r="D86" s="330"/>
      <c r="E86" s="216" t="str">
        <f t="shared" si="7"/>
        <v>тыс.руб./</v>
      </c>
      <c r="F86" s="161"/>
      <c r="G86" s="154"/>
      <c r="H86" s="155"/>
      <c r="I86" s="155"/>
      <c r="J86" s="155"/>
      <c r="K86" s="155"/>
      <c r="L86" s="155"/>
      <c r="M86" s="155"/>
      <c r="N86" s="155"/>
      <c r="O86" s="155"/>
      <c r="P86" s="155"/>
      <c r="Q86" s="128"/>
      <c r="R86" s="128"/>
    </row>
    <row r="87" spans="1:18" x14ac:dyDescent="0.25">
      <c r="A87" s="181" t="s">
        <v>156</v>
      </c>
      <c r="B87" s="663">
        <f t="shared" si="6"/>
        <v>0</v>
      </c>
      <c r="C87" s="663"/>
      <c r="D87" s="330"/>
      <c r="E87" s="216" t="str">
        <f t="shared" si="7"/>
        <v>тыс.руб./</v>
      </c>
      <c r="F87" s="161"/>
      <c r="G87" s="154"/>
      <c r="H87" s="155"/>
      <c r="I87" s="155"/>
      <c r="J87" s="155"/>
      <c r="K87" s="155"/>
      <c r="L87" s="155"/>
      <c r="M87" s="155"/>
      <c r="N87" s="155"/>
      <c r="O87" s="155"/>
      <c r="P87" s="155"/>
      <c r="Q87" s="128"/>
      <c r="R87" s="128"/>
    </row>
    <row r="88" spans="1:18" x14ac:dyDescent="0.25">
      <c r="A88" s="181" t="s">
        <v>157</v>
      </c>
      <c r="B88" s="663">
        <f t="shared" si="6"/>
        <v>0</v>
      </c>
      <c r="C88" s="663"/>
      <c r="D88" s="330"/>
      <c r="E88" s="216" t="str">
        <f t="shared" si="7"/>
        <v>тыс.руб./</v>
      </c>
      <c r="F88" s="161"/>
      <c r="G88" s="154"/>
      <c r="H88" s="155"/>
      <c r="I88" s="155"/>
      <c r="J88" s="155"/>
      <c r="K88" s="155"/>
      <c r="L88" s="155"/>
      <c r="M88" s="155"/>
      <c r="N88" s="155"/>
      <c r="O88" s="155"/>
      <c r="P88" s="155"/>
      <c r="Q88" s="128"/>
      <c r="R88" s="128"/>
    </row>
    <row r="89" spans="1:18" x14ac:dyDescent="0.25">
      <c r="A89" s="181" t="s">
        <v>158</v>
      </c>
      <c r="B89" s="663">
        <f t="shared" si="6"/>
        <v>0</v>
      </c>
      <c r="C89" s="663"/>
      <c r="D89" s="330"/>
      <c r="E89" s="216" t="str">
        <f t="shared" si="7"/>
        <v>тыс.руб./</v>
      </c>
      <c r="F89" s="161"/>
      <c r="G89" s="154"/>
      <c r="H89" s="155"/>
      <c r="I89" s="155"/>
      <c r="J89" s="155"/>
      <c r="K89" s="155"/>
      <c r="L89" s="155"/>
      <c r="M89" s="155"/>
      <c r="N89" s="155"/>
      <c r="O89" s="155"/>
      <c r="P89" s="155"/>
      <c r="Q89" s="128"/>
      <c r="R89" s="128"/>
    </row>
    <row r="90" spans="1:18" x14ac:dyDescent="0.25">
      <c r="A90" s="181" t="s">
        <v>159</v>
      </c>
      <c r="B90" s="663">
        <f t="shared" si="6"/>
        <v>0</v>
      </c>
      <c r="C90" s="663"/>
      <c r="D90" s="330"/>
      <c r="E90" s="216" t="str">
        <f t="shared" si="7"/>
        <v>тыс.руб./</v>
      </c>
      <c r="F90" s="161"/>
      <c r="G90" s="154"/>
      <c r="H90" s="155"/>
      <c r="I90" s="155"/>
      <c r="J90" s="155"/>
      <c r="K90" s="155"/>
      <c r="L90" s="155"/>
      <c r="M90" s="155"/>
      <c r="N90" s="155"/>
      <c r="O90" s="155"/>
      <c r="P90" s="155"/>
      <c r="Q90" s="128"/>
      <c r="R90" s="128"/>
    </row>
    <row r="91" spans="1:18" x14ac:dyDescent="0.25">
      <c r="A91" s="181" t="s">
        <v>160</v>
      </c>
      <c r="B91" s="663">
        <f t="shared" si="6"/>
        <v>0</v>
      </c>
      <c r="C91" s="663"/>
      <c r="D91" s="330"/>
      <c r="E91" s="216" t="str">
        <f t="shared" si="7"/>
        <v>тыс.руб./</v>
      </c>
      <c r="F91" s="161"/>
      <c r="G91" s="154"/>
      <c r="H91" s="155"/>
      <c r="I91" s="155"/>
      <c r="J91" s="155"/>
      <c r="K91" s="155"/>
      <c r="L91" s="155"/>
      <c r="M91" s="155"/>
      <c r="N91" s="155"/>
      <c r="O91" s="155"/>
      <c r="P91" s="155"/>
      <c r="Q91" s="128"/>
      <c r="R91" s="128"/>
    </row>
    <row r="92" spans="1:18" x14ac:dyDescent="0.25"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</row>
    <row r="93" spans="1:18" x14ac:dyDescent="0.25">
      <c r="B93" s="164" t="s">
        <v>191</v>
      </c>
      <c r="C93" s="164"/>
      <c r="D93" s="164"/>
      <c r="E93" s="140"/>
      <c r="F93" s="140"/>
      <c r="G93" s="132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</row>
    <row r="94" spans="1:18" x14ac:dyDescent="0.25">
      <c r="B94" s="160" t="s">
        <v>185</v>
      </c>
      <c r="C94" s="160"/>
      <c r="D94" s="160"/>
      <c r="E94" s="161" t="s">
        <v>161</v>
      </c>
      <c r="F94" s="161"/>
      <c r="G94" s="132">
        <f t="shared" ref="G94:P94" si="8">G68</f>
        <v>2022</v>
      </c>
      <c r="H94" s="132">
        <f t="shared" si="8"/>
        <v>2023</v>
      </c>
      <c r="I94" s="132">
        <f t="shared" si="8"/>
        <v>2024</v>
      </c>
      <c r="J94" s="132">
        <f t="shared" si="8"/>
        <v>2025</v>
      </c>
      <c r="K94" s="132">
        <f t="shared" si="8"/>
        <v>2026</v>
      </c>
      <c r="L94" s="132">
        <f t="shared" si="8"/>
        <v>2027</v>
      </c>
      <c r="M94" s="132">
        <f t="shared" si="8"/>
        <v>2028</v>
      </c>
      <c r="N94" s="132">
        <f t="shared" si="8"/>
        <v>2029</v>
      </c>
      <c r="O94" s="132">
        <f t="shared" si="8"/>
        <v>2030</v>
      </c>
      <c r="P94" s="132">
        <f t="shared" si="8"/>
        <v>2031</v>
      </c>
      <c r="Q94" s="128"/>
      <c r="R94" s="128"/>
    </row>
    <row r="95" spans="1:18" x14ac:dyDescent="0.25">
      <c r="A95" s="180" t="s">
        <v>151</v>
      </c>
      <c r="B95" s="658" t="s">
        <v>29</v>
      </c>
      <c r="C95" s="658"/>
      <c r="E95" s="167" t="s">
        <v>182</v>
      </c>
      <c r="G95" s="154">
        <v>0</v>
      </c>
      <c r="H95" s="154">
        <v>10100</v>
      </c>
      <c r="I95" s="154">
        <v>10400</v>
      </c>
      <c r="J95" s="154">
        <v>10700</v>
      </c>
      <c r="K95" s="154">
        <v>11000</v>
      </c>
      <c r="L95" s="154">
        <v>11300</v>
      </c>
      <c r="M95" s="154">
        <v>11600</v>
      </c>
      <c r="N95" s="154">
        <v>11900</v>
      </c>
      <c r="O95" s="154">
        <v>12200</v>
      </c>
      <c r="P95" s="154">
        <v>12500</v>
      </c>
      <c r="Q95" s="128"/>
      <c r="R95" s="128"/>
    </row>
    <row r="96" spans="1:18" x14ac:dyDescent="0.25">
      <c r="A96" s="180" t="s">
        <v>152</v>
      </c>
      <c r="B96" s="658" t="s">
        <v>30</v>
      </c>
      <c r="C96" s="658"/>
      <c r="E96" s="167" t="s">
        <v>183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  <c r="N96" s="154">
        <v>0</v>
      </c>
      <c r="O96" s="154">
        <v>0</v>
      </c>
      <c r="P96" s="154">
        <v>0</v>
      </c>
      <c r="Q96" s="128"/>
      <c r="R96" s="128"/>
    </row>
    <row r="97" spans="1:18" x14ac:dyDescent="0.25">
      <c r="A97" s="180" t="s">
        <v>153</v>
      </c>
      <c r="B97" s="658" t="s">
        <v>31</v>
      </c>
      <c r="C97" s="658"/>
      <c r="E97" s="167" t="s">
        <v>183</v>
      </c>
      <c r="G97" s="154">
        <v>0</v>
      </c>
      <c r="H97" s="154">
        <v>2100</v>
      </c>
      <c r="I97" s="154">
        <v>2200</v>
      </c>
      <c r="J97" s="154">
        <v>2300</v>
      </c>
      <c r="K97" s="154">
        <v>2400</v>
      </c>
      <c r="L97" s="154">
        <v>2500</v>
      </c>
      <c r="M97" s="154">
        <v>2600</v>
      </c>
      <c r="N97" s="154">
        <v>2700</v>
      </c>
      <c r="O97" s="154">
        <v>2800</v>
      </c>
      <c r="P97" s="154">
        <v>2900</v>
      </c>
      <c r="Q97" s="128"/>
      <c r="R97" s="128"/>
    </row>
    <row r="98" spans="1:18" x14ac:dyDescent="0.25">
      <c r="A98" s="180" t="s">
        <v>154</v>
      </c>
      <c r="B98" s="658" t="s">
        <v>32</v>
      </c>
      <c r="C98" s="658"/>
      <c r="E98" s="167" t="s">
        <v>183</v>
      </c>
      <c r="G98" s="154">
        <v>0</v>
      </c>
      <c r="H98" s="154">
        <v>2100</v>
      </c>
      <c r="I98" s="154">
        <v>2200</v>
      </c>
      <c r="J98" s="154">
        <v>2300</v>
      </c>
      <c r="K98" s="154">
        <v>2400</v>
      </c>
      <c r="L98" s="154">
        <v>2500</v>
      </c>
      <c r="M98" s="154">
        <v>2600</v>
      </c>
      <c r="N98" s="154">
        <v>2700</v>
      </c>
      <c r="O98" s="154">
        <v>2800</v>
      </c>
      <c r="P98" s="154">
        <v>2900</v>
      </c>
      <c r="Q98" s="128"/>
      <c r="R98" s="128"/>
    </row>
    <row r="99" spans="1:18" x14ac:dyDescent="0.25">
      <c r="A99" s="181" t="s">
        <v>155</v>
      </c>
      <c r="B99" s="658" t="s">
        <v>33</v>
      </c>
      <c r="C99" s="658"/>
      <c r="E99" s="167" t="s">
        <v>184</v>
      </c>
      <c r="G99" s="154">
        <v>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  <c r="N99" s="154">
        <v>0</v>
      </c>
      <c r="O99" s="154">
        <v>0</v>
      </c>
      <c r="P99" s="154">
        <v>0</v>
      </c>
      <c r="Q99" s="128"/>
      <c r="R99" s="128"/>
    </row>
    <row r="100" spans="1:18" x14ac:dyDescent="0.25">
      <c r="A100" s="181" t="s">
        <v>156</v>
      </c>
      <c r="B100" s="658" t="s">
        <v>34</v>
      </c>
      <c r="C100" s="658"/>
      <c r="E100" s="167" t="s">
        <v>183</v>
      </c>
      <c r="G100" s="154">
        <v>0</v>
      </c>
      <c r="H100" s="154">
        <v>7700</v>
      </c>
      <c r="I100" s="154">
        <v>7900</v>
      </c>
      <c r="J100" s="154">
        <v>8100</v>
      </c>
      <c r="K100" s="154">
        <v>8300</v>
      </c>
      <c r="L100" s="154">
        <v>8500</v>
      </c>
      <c r="M100" s="154">
        <v>8700</v>
      </c>
      <c r="N100" s="154">
        <v>8900</v>
      </c>
      <c r="O100" s="154">
        <v>9100</v>
      </c>
      <c r="P100" s="154">
        <v>9300</v>
      </c>
      <c r="Q100" s="128"/>
      <c r="R100" s="128"/>
    </row>
    <row r="101" spans="1:18" x14ac:dyDescent="0.25"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</row>
    <row r="102" spans="1:18" x14ac:dyDescent="0.25">
      <c r="B102" s="164" t="s">
        <v>186</v>
      </c>
      <c r="C102" s="164"/>
      <c r="D102" s="164"/>
      <c r="E102" s="140"/>
      <c r="F102" s="140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</row>
    <row r="103" spans="1:18" ht="28.5" customHeight="1" x14ac:dyDescent="0.25">
      <c r="B103" s="160" t="s">
        <v>185</v>
      </c>
      <c r="C103" s="156"/>
      <c r="D103" s="156"/>
      <c r="E103" s="161" t="s">
        <v>161</v>
      </c>
      <c r="F103" s="161"/>
      <c r="G103" s="370" t="s">
        <v>379</v>
      </c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</row>
    <row r="104" spans="1:18" x14ac:dyDescent="0.25">
      <c r="A104" s="180" t="s">
        <v>151</v>
      </c>
      <c r="B104" s="449" t="str">
        <f>B95</f>
        <v>Электроэнергия</v>
      </c>
      <c r="C104" s="249"/>
      <c r="D104" s="249"/>
      <c r="E104" s="216" t="str">
        <f>"тыс.руб./"&amp;E95</f>
        <v>тыс.руб./кВт*ч/год</v>
      </c>
      <c r="G104" s="167">
        <v>5.0000000000000001E-3</v>
      </c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</row>
    <row r="105" spans="1:18" x14ac:dyDescent="0.25">
      <c r="A105" s="180" t="s">
        <v>152</v>
      </c>
      <c r="B105" s="117" t="str">
        <f t="shared" ref="B105:B109" si="9">B96</f>
        <v>Горячее водоснабжение</v>
      </c>
      <c r="C105" s="249"/>
      <c r="D105" s="249"/>
      <c r="E105" s="216" t="str">
        <f t="shared" ref="E105:E109" si="10">"тыс.руб./"&amp;E96</f>
        <v>тыс.руб./куб.м/год</v>
      </c>
      <c r="G105" s="167">
        <v>0</v>
      </c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</row>
    <row r="106" spans="1:18" x14ac:dyDescent="0.25">
      <c r="A106" s="180" t="s">
        <v>153</v>
      </c>
      <c r="B106" s="117" t="str">
        <f t="shared" si="9"/>
        <v>Холодное водоснабжение</v>
      </c>
      <c r="C106" s="249"/>
      <c r="D106" s="249"/>
      <c r="E106" s="216" t="str">
        <f t="shared" si="10"/>
        <v>тыс.руб./куб.м/год</v>
      </c>
      <c r="G106" s="167">
        <v>2.5000000000000001E-2</v>
      </c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</row>
    <row r="107" spans="1:18" x14ac:dyDescent="0.25">
      <c r="A107" s="180" t="s">
        <v>154</v>
      </c>
      <c r="B107" s="117" t="str">
        <f t="shared" si="9"/>
        <v>Водоотведение</v>
      </c>
      <c r="C107" s="249"/>
      <c r="D107" s="249"/>
      <c r="E107" s="216" t="str">
        <f t="shared" si="10"/>
        <v>тыс.руб./куб.м/год</v>
      </c>
      <c r="G107" s="167">
        <v>0.3</v>
      </c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</row>
    <row r="108" spans="1:18" x14ac:dyDescent="0.25">
      <c r="A108" s="181" t="s">
        <v>155</v>
      </c>
      <c r="B108" s="117" t="str">
        <f t="shared" si="9"/>
        <v>Теплоснабжение</v>
      </c>
      <c r="C108" s="249"/>
      <c r="D108" s="249"/>
      <c r="E108" s="216" t="str">
        <f t="shared" si="10"/>
        <v>тыс.руб./Гкал/год</v>
      </c>
      <c r="G108" s="167">
        <v>0</v>
      </c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x14ac:dyDescent="0.25">
      <c r="A109" s="181" t="s">
        <v>156</v>
      </c>
      <c r="B109" s="117" t="str">
        <f t="shared" si="9"/>
        <v>Газоснабжение</v>
      </c>
      <c r="C109" s="249"/>
      <c r="D109" s="249"/>
      <c r="E109" s="216" t="str">
        <f t="shared" si="10"/>
        <v>тыс.руб./куб.м/год</v>
      </c>
      <c r="G109" s="167">
        <v>8.0000000000000002E-3</v>
      </c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</row>
    <row r="110" spans="1:18" x14ac:dyDescent="0.25"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</row>
    <row r="111" spans="1:18" x14ac:dyDescent="0.25">
      <c r="A111" s="183"/>
      <c r="B111" s="164" t="s">
        <v>341</v>
      </c>
      <c r="C111" s="164"/>
      <c r="D111" s="164"/>
    </row>
    <row r="112" spans="1:18" x14ac:dyDescent="0.25">
      <c r="A112" s="183"/>
      <c r="B112" s="164"/>
      <c r="C112" s="164"/>
      <c r="D112" s="164"/>
    </row>
    <row r="113" spans="1:16" x14ac:dyDescent="0.25">
      <c r="A113" s="183"/>
      <c r="B113" s="654" t="s">
        <v>455</v>
      </c>
      <c r="C113" s="654"/>
      <c r="D113" s="164"/>
      <c r="E113" s="655" t="s">
        <v>221</v>
      </c>
      <c r="F113" s="655"/>
    </row>
    <row r="114" spans="1:16" x14ac:dyDescent="0.25">
      <c r="A114" s="183"/>
      <c r="B114" s="164"/>
      <c r="C114" s="164"/>
      <c r="D114" s="164"/>
    </row>
    <row r="115" spans="1:16" x14ac:dyDescent="0.25">
      <c r="A115" s="183"/>
      <c r="B115" s="130" t="s">
        <v>413</v>
      </c>
      <c r="C115" s="130"/>
      <c r="D115" s="130"/>
      <c r="E115" s="161" t="s">
        <v>161</v>
      </c>
      <c r="F115" s="161"/>
      <c r="G115" s="132">
        <f t="shared" ref="G115:P115" si="11">G68</f>
        <v>2022</v>
      </c>
      <c r="H115" s="132">
        <f t="shared" si="11"/>
        <v>2023</v>
      </c>
      <c r="I115" s="132">
        <f t="shared" si="11"/>
        <v>2024</v>
      </c>
      <c r="J115" s="132">
        <f t="shared" si="11"/>
        <v>2025</v>
      </c>
      <c r="K115" s="132">
        <f t="shared" si="11"/>
        <v>2026</v>
      </c>
      <c r="L115" s="132">
        <f t="shared" si="11"/>
        <v>2027</v>
      </c>
      <c r="M115" s="132">
        <f t="shared" si="11"/>
        <v>2028</v>
      </c>
      <c r="N115" s="132">
        <f t="shared" si="11"/>
        <v>2029</v>
      </c>
      <c r="O115" s="132">
        <f t="shared" si="11"/>
        <v>2030</v>
      </c>
      <c r="P115" s="132">
        <f t="shared" si="11"/>
        <v>2031</v>
      </c>
    </row>
    <row r="116" spans="1:16" x14ac:dyDescent="0.25">
      <c r="A116" s="180" t="s">
        <v>151</v>
      </c>
      <c r="B116" s="658" t="s">
        <v>521</v>
      </c>
      <c r="C116" s="658"/>
      <c r="D116" s="304"/>
      <c r="E116" s="138" t="s">
        <v>26</v>
      </c>
      <c r="G116" s="154">
        <v>2</v>
      </c>
      <c r="H116" s="154">
        <v>1</v>
      </c>
      <c r="I116" s="154">
        <v>1</v>
      </c>
      <c r="J116" s="154"/>
      <c r="K116" s="154"/>
      <c r="L116" s="154"/>
      <c r="M116" s="154"/>
      <c r="N116" s="154"/>
      <c r="O116" s="154"/>
      <c r="P116" s="154"/>
    </row>
    <row r="117" spans="1:16" x14ac:dyDescent="0.25">
      <c r="A117" s="180" t="s">
        <v>152</v>
      </c>
      <c r="B117" s="658" t="s">
        <v>522</v>
      </c>
      <c r="C117" s="658"/>
      <c r="D117" s="304"/>
      <c r="E117" s="138" t="s">
        <v>26</v>
      </c>
      <c r="G117" s="154">
        <v>3</v>
      </c>
      <c r="H117" s="154">
        <v>9</v>
      </c>
      <c r="I117" s="154">
        <v>12</v>
      </c>
      <c r="J117" s="154">
        <v>2</v>
      </c>
      <c r="K117" s="154"/>
      <c r="L117" s="154"/>
      <c r="M117" s="154"/>
      <c r="N117" s="154"/>
      <c r="O117" s="154"/>
      <c r="P117" s="154"/>
    </row>
    <row r="118" spans="1:16" x14ac:dyDescent="0.25">
      <c r="A118" s="180" t="s">
        <v>153</v>
      </c>
      <c r="B118" s="658"/>
      <c r="C118" s="658"/>
      <c r="D118" s="304"/>
      <c r="E118" s="138" t="s">
        <v>26</v>
      </c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</row>
    <row r="119" spans="1:16" x14ac:dyDescent="0.25">
      <c r="A119" s="180" t="s">
        <v>154</v>
      </c>
      <c r="B119" s="658"/>
      <c r="C119" s="658"/>
      <c r="D119" s="304"/>
      <c r="E119" s="138" t="s">
        <v>26</v>
      </c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</row>
    <row r="120" spans="1:16" x14ac:dyDescent="0.25">
      <c r="A120" s="181" t="s">
        <v>155</v>
      </c>
      <c r="B120" s="658"/>
      <c r="C120" s="658"/>
      <c r="D120" s="304"/>
      <c r="E120" s="138" t="s">
        <v>26</v>
      </c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</row>
    <row r="121" spans="1:16" x14ac:dyDescent="0.25">
      <c r="A121" s="181" t="s">
        <v>156</v>
      </c>
      <c r="B121" s="658"/>
      <c r="C121" s="658"/>
      <c r="D121" s="304"/>
      <c r="E121" s="138" t="s">
        <v>26</v>
      </c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</row>
    <row r="122" spans="1:16" x14ac:dyDescent="0.25">
      <c r="A122" s="181" t="s">
        <v>157</v>
      </c>
      <c r="B122" s="658"/>
      <c r="C122" s="658"/>
      <c r="D122" s="304"/>
      <c r="E122" s="138" t="s">
        <v>26</v>
      </c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</row>
    <row r="123" spans="1:16" x14ac:dyDescent="0.25">
      <c r="A123" s="181" t="s">
        <v>158</v>
      </c>
      <c r="B123" s="658"/>
      <c r="C123" s="658"/>
      <c r="D123" s="304"/>
      <c r="E123" s="138" t="s">
        <v>26</v>
      </c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</row>
    <row r="124" spans="1:16" x14ac:dyDescent="0.25">
      <c r="A124" s="181" t="s">
        <v>159</v>
      </c>
      <c r="B124" s="658"/>
      <c r="C124" s="658"/>
      <c r="D124" s="304"/>
      <c r="E124" s="138" t="s">
        <v>26</v>
      </c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</row>
    <row r="125" spans="1:16" x14ac:dyDescent="0.25">
      <c r="A125" s="181" t="s">
        <v>160</v>
      </c>
      <c r="B125" s="658"/>
      <c r="C125" s="658"/>
      <c r="D125" s="304"/>
      <c r="E125" s="138" t="s">
        <v>26</v>
      </c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</row>
    <row r="126" spans="1:16" x14ac:dyDescent="0.25">
      <c r="A126" s="181" t="s">
        <v>168</v>
      </c>
      <c r="B126" s="658"/>
      <c r="C126" s="658"/>
      <c r="D126" s="304"/>
      <c r="E126" s="138" t="s">
        <v>26</v>
      </c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</row>
    <row r="127" spans="1:16" x14ac:dyDescent="0.25">
      <c r="A127" s="181" t="s">
        <v>169</v>
      </c>
      <c r="B127" s="658"/>
      <c r="C127" s="658"/>
      <c r="D127" s="304"/>
      <c r="E127" s="138" t="s">
        <v>26</v>
      </c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</row>
    <row r="128" spans="1:16" x14ac:dyDescent="0.25">
      <c r="A128" s="181" t="s">
        <v>170</v>
      </c>
      <c r="B128" s="658"/>
      <c r="C128" s="658"/>
      <c r="D128" s="304"/>
      <c r="E128" s="138" t="s">
        <v>26</v>
      </c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</row>
    <row r="129" spans="1:16" x14ac:dyDescent="0.25">
      <c r="A129" s="181" t="s">
        <v>171</v>
      </c>
      <c r="B129" s="658"/>
      <c r="C129" s="658"/>
      <c r="D129" s="304"/>
      <c r="E129" s="138" t="s">
        <v>26</v>
      </c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</row>
    <row r="130" spans="1:16" x14ac:dyDescent="0.25">
      <c r="A130" s="181" t="s">
        <v>172</v>
      </c>
      <c r="B130" s="658"/>
      <c r="C130" s="658"/>
      <c r="D130" s="304"/>
      <c r="E130" s="138" t="s">
        <v>26</v>
      </c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</row>
    <row r="131" spans="1:16" x14ac:dyDescent="0.25">
      <c r="A131" s="181" t="s">
        <v>173</v>
      </c>
      <c r="B131" s="658"/>
      <c r="C131" s="658"/>
      <c r="D131" s="304"/>
      <c r="E131" s="138" t="s">
        <v>26</v>
      </c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</row>
    <row r="132" spans="1:16" x14ac:dyDescent="0.25">
      <c r="A132" s="181" t="s">
        <v>174</v>
      </c>
      <c r="B132" s="658"/>
      <c r="C132" s="658"/>
      <c r="D132" s="304"/>
      <c r="E132" s="138" t="s">
        <v>26</v>
      </c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</row>
    <row r="133" spans="1:16" x14ac:dyDescent="0.25">
      <c r="A133" s="181" t="s">
        <v>175</v>
      </c>
      <c r="B133" s="658"/>
      <c r="C133" s="658"/>
      <c r="D133" s="304"/>
      <c r="E133" s="138" t="s">
        <v>26</v>
      </c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</row>
    <row r="134" spans="1:16" x14ac:dyDescent="0.25">
      <c r="A134" s="181" t="s">
        <v>176</v>
      </c>
      <c r="B134" s="658"/>
      <c r="C134" s="658"/>
      <c r="D134" s="304"/>
      <c r="E134" s="138" t="s">
        <v>26</v>
      </c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</row>
    <row r="135" spans="1:16" x14ac:dyDescent="0.25">
      <c r="A135" s="181" t="s">
        <v>177</v>
      </c>
      <c r="B135" s="658"/>
      <c r="C135" s="658"/>
      <c r="D135" s="304"/>
      <c r="E135" s="138" t="s">
        <v>26</v>
      </c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</row>
    <row r="136" spans="1:16" x14ac:dyDescent="0.25">
      <c r="A136" s="181"/>
      <c r="B136" s="160" t="s">
        <v>196</v>
      </c>
      <c r="C136" s="160"/>
      <c r="D136" s="160"/>
      <c r="E136" s="174" t="s">
        <v>26</v>
      </c>
      <c r="F136" s="174"/>
      <c r="G136" s="219">
        <f>SUM(G116:G135)</f>
        <v>5</v>
      </c>
      <c r="H136" s="219">
        <f t="shared" ref="H136:P136" si="12">SUM(H116:H135)</f>
        <v>10</v>
      </c>
      <c r="I136" s="219">
        <f t="shared" si="12"/>
        <v>13</v>
      </c>
      <c r="J136" s="219">
        <f t="shared" si="12"/>
        <v>2</v>
      </c>
      <c r="K136" s="219">
        <f t="shared" si="12"/>
        <v>0</v>
      </c>
      <c r="L136" s="219">
        <f t="shared" si="12"/>
        <v>0</v>
      </c>
      <c r="M136" s="219">
        <f t="shared" si="12"/>
        <v>0</v>
      </c>
      <c r="N136" s="219">
        <f t="shared" si="12"/>
        <v>0</v>
      </c>
      <c r="O136" s="219">
        <f t="shared" si="12"/>
        <v>0</v>
      </c>
      <c r="P136" s="219">
        <f t="shared" si="12"/>
        <v>0</v>
      </c>
    </row>
    <row r="137" spans="1:16" x14ac:dyDescent="0.25">
      <c r="A137" s="181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</row>
    <row r="138" spans="1:16" x14ac:dyDescent="0.25">
      <c r="A138" s="181"/>
      <c r="B138" s="164" t="s">
        <v>456</v>
      </c>
      <c r="C138" s="135"/>
      <c r="D138" s="135"/>
      <c r="E138" s="208"/>
      <c r="F138" s="208"/>
      <c r="G138" s="136"/>
      <c r="H138" s="157"/>
      <c r="I138" s="157"/>
      <c r="J138" s="157"/>
      <c r="K138" s="157"/>
      <c r="L138" s="157"/>
      <c r="M138" s="157"/>
      <c r="N138" s="157"/>
      <c r="O138" s="157"/>
      <c r="P138" s="157"/>
    </row>
    <row r="139" spans="1:16" x14ac:dyDescent="0.25">
      <c r="A139" s="181"/>
      <c r="B139" s="312" t="s">
        <v>457</v>
      </c>
      <c r="E139" s="313" t="s">
        <v>210</v>
      </c>
      <c r="F139" s="313"/>
      <c r="G139" s="534" cm="1">
        <f t="array" ref="G139">_xlfn.IFS(G136&lt;&gt;0,G115,H136&lt;&gt;0,H115,I136&lt;&gt;0,I115,J136&lt;&gt;0,J115,K136&lt;&gt;0,K115,L136&lt;&gt;0,L115,M136&lt;&gt;0,M115,N136&lt;&gt;0,N115,O136&lt;&gt;0,O115,P136&lt;&gt;0,P115)</f>
        <v>2022</v>
      </c>
      <c r="H139" s="157"/>
      <c r="I139" s="157"/>
      <c r="J139" s="157"/>
      <c r="K139" s="157"/>
      <c r="L139" s="157"/>
      <c r="M139" s="157"/>
      <c r="N139" s="157"/>
      <c r="O139" s="157"/>
      <c r="P139" s="157"/>
    </row>
    <row r="140" spans="1:16" x14ac:dyDescent="0.25">
      <c r="A140" s="181"/>
      <c r="B140" s="312" t="s">
        <v>458</v>
      </c>
      <c r="E140" s="313" t="s">
        <v>210</v>
      </c>
      <c r="F140" s="313"/>
      <c r="G140" s="534" cm="1">
        <f t="array" ref="G140">_xlfn.IFS(O136&lt;&gt;0,O115,N136&lt;&gt;0,N115,M136&lt;&gt;0,M115,L136&lt;&gt;0,L115,K136&lt;&gt;0,K115,J136&lt;&gt;0,J115,I136&lt;&gt;0,I115,H136&lt;&gt;0,H115,G136&lt;&gt;0,G115,P136&lt;&gt;0,P115)</f>
        <v>2025</v>
      </c>
      <c r="H140" s="157"/>
      <c r="I140" s="157"/>
      <c r="J140" s="157"/>
      <c r="K140" s="157"/>
      <c r="L140" s="157"/>
      <c r="M140" s="157"/>
      <c r="N140" s="157"/>
      <c r="O140" s="157"/>
      <c r="P140" s="157"/>
    </row>
    <row r="141" spans="1:16" x14ac:dyDescent="0.25">
      <c r="A141" s="181"/>
      <c r="B141" s="117" t="s">
        <v>55</v>
      </c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</row>
    <row r="142" spans="1:16" x14ac:dyDescent="0.25">
      <c r="A142" s="181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</row>
    <row r="143" spans="1:16" x14ac:dyDescent="0.25">
      <c r="A143" s="183"/>
      <c r="B143" s="164" t="s">
        <v>179</v>
      </c>
      <c r="C143" s="164"/>
      <c r="D143" s="164"/>
    </row>
    <row r="144" spans="1:16" x14ac:dyDescent="0.25">
      <c r="A144" s="183"/>
      <c r="B144" s="130" t="s">
        <v>178</v>
      </c>
      <c r="C144" s="130"/>
      <c r="D144" s="130"/>
      <c r="E144" s="161" t="s">
        <v>161</v>
      </c>
      <c r="F144" s="161"/>
      <c r="G144" s="132">
        <f>G115</f>
        <v>2022</v>
      </c>
      <c r="H144" s="132">
        <f t="shared" ref="H144:P144" si="13">H115</f>
        <v>2023</v>
      </c>
      <c r="I144" s="132">
        <f t="shared" si="13"/>
        <v>2024</v>
      </c>
      <c r="J144" s="132">
        <f t="shared" si="13"/>
        <v>2025</v>
      </c>
      <c r="K144" s="132">
        <f t="shared" si="13"/>
        <v>2026</v>
      </c>
      <c r="L144" s="132">
        <f t="shared" si="13"/>
        <v>2027</v>
      </c>
      <c r="M144" s="132">
        <f t="shared" si="13"/>
        <v>2028</v>
      </c>
      <c r="N144" s="132">
        <f t="shared" si="13"/>
        <v>2029</v>
      </c>
      <c r="O144" s="132">
        <f t="shared" si="13"/>
        <v>2030</v>
      </c>
      <c r="P144" s="132">
        <f t="shared" si="13"/>
        <v>2031</v>
      </c>
    </row>
    <row r="145" spans="1:16" x14ac:dyDescent="0.25">
      <c r="A145" s="180" t="s">
        <v>151</v>
      </c>
      <c r="B145" s="432" t="str">
        <f t="shared" ref="B145:B164" si="14">B116</f>
        <v>Административный персонал</v>
      </c>
      <c r="C145" s="163"/>
      <c r="D145" s="163"/>
      <c r="E145" s="138" t="s">
        <v>26</v>
      </c>
      <c r="G145" s="309">
        <f>SUM($G116:G116)</f>
        <v>2</v>
      </c>
      <c r="H145" s="309">
        <f>SUM($G$116:H116)</f>
        <v>3</v>
      </c>
      <c r="I145" s="309">
        <f>SUM($G$116:I116)</f>
        <v>4</v>
      </c>
      <c r="J145" s="309">
        <f>SUM($G$116:J116)</f>
        <v>4</v>
      </c>
      <c r="K145" s="309">
        <f>SUM($G$116:K116)</f>
        <v>4</v>
      </c>
      <c r="L145" s="309">
        <f>SUM($G$116:L116)</f>
        <v>4</v>
      </c>
      <c r="M145" s="309">
        <f>SUM($G$116:M116)</f>
        <v>4</v>
      </c>
      <c r="N145" s="309">
        <f>SUM($G$116:N116)</f>
        <v>4</v>
      </c>
      <c r="O145" s="309">
        <f>SUM($G$116:O116)</f>
        <v>4</v>
      </c>
      <c r="P145" s="309">
        <f>SUM($G$116:P116)</f>
        <v>4</v>
      </c>
    </row>
    <row r="146" spans="1:16" x14ac:dyDescent="0.25">
      <c r="A146" s="180" t="s">
        <v>152</v>
      </c>
      <c r="B146" s="432" t="str">
        <f t="shared" si="14"/>
        <v>Производственный персонал</v>
      </c>
      <c r="C146" s="163"/>
      <c r="D146" s="163"/>
      <c r="E146" s="138" t="s">
        <v>26</v>
      </c>
      <c r="G146" s="309">
        <f>SUM($G117:G117)</f>
        <v>3</v>
      </c>
      <c r="H146" s="309">
        <f>SUM($G117:H117)</f>
        <v>12</v>
      </c>
      <c r="I146" s="309">
        <f>SUM($G117:I117)</f>
        <v>24</v>
      </c>
      <c r="J146" s="309">
        <f>SUM($G117:J117)</f>
        <v>26</v>
      </c>
      <c r="K146" s="309">
        <f>SUM($G117:K117)</f>
        <v>26</v>
      </c>
      <c r="L146" s="309">
        <f>SUM($G117:L117)</f>
        <v>26</v>
      </c>
      <c r="M146" s="309">
        <f>SUM($G117:M117)</f>
        <v>26</v>
      </c>
      <c r="N146" s="309">
        <f>SUM($G117:N117)</f>
        <v>26</v>
      </c>
      <c r="O146" s="309">
        <f>SUM($G117:O117)</f>
        <v>26</v>
      </c>
      <c r="P146" s="309">
        <f>SUM($G117:P117)</f>
        <v>26</v>
      </c>
    </row>
    <row r="147" spans="1:16" x14ac:dyDescent="0.25">
      <c r="A147" s="180" t="s">
        <v>153</v>
      </c>
      <c r="B147" s="432">
        <f t="shared" si="14"/>
        <v>0</v>
      </c>
      <c r="C147" s="163"/>
      <c r="D147" s="163"/>
      <c r="E147" s="138" t="s">
        <v>26</v>
      </c>
      <c r="G147" s="309">
        <f>SUM($G118:G118)</f>
        <v>0</v>
      </c>
      <c r="H147" s="309">
        <f>SUM($G118:H118)</f>
        <v>0</v>
      </c>
      <c r="I147" s="309">
        <f>SUM($G118:I118)</f>
        <v>0</v>
      </c>
      <c r="J147" s="309">
        <f>SUM($G118:J118)</f>
        <v>0</v>
      </c>
      <c r="K147" s="309">
        <f>SUM($G118:K118)</f>
        <v>0</v>
      </c>
      <c r="L147" s="309">
        <f>SUM($G118:L118)</f>
        <v>0</v>
      </c>
      <c r="M147" s="309">
        <f>SUM($G118:M118)</f>
        <v>0</v>
      </c>
      <c r="N147" s="309">
        <f>SUM($G118:N118)</f>
        <v>0</v>
      </c>
      <c r="O147" s="309">
        <f>SUM($G118:O118)</f>
        <v>0</v>
      </c>
      <c r="P147" s="309">
        <f>SUM($G118:P118)</f>
        <v>0</v>
      </c>
    </row>
    <row r="148" spans="1:16" x14ac:dyDescent="0.25">
      <c r="A148" s="180" t="s">
        <v>154</v>
      </c>
      <c r="B148" s="432">
        <f t="shared" si="14"/>
        <v>0</v>
      </c>
      <c r="C148" s="163"/>
      <c r="D148" s="163"/>
      <c r="E148" s="138" t="s">
        <v>26</v>
      </c>
      <c r="G148" s="309">
        <f>SUM($G119:G119)</f>
        <v>0</v>
      </c>
      <c r="H148" s="309">
        <f>SUM($G119:H119)</f>
        <v>0</v>
      </c>
      <c r="I148" s="309">
        <f>SUM($G119:I119)</f>
        <v>0</v>
      </c>
      <c r="J148" s="309">
        <f>SUM($G119:J119)</f>
        <v>0</v>
      </c>
      <c r="K148" s="309">
        <f>SUM($G119:K119)</f>
        <v>0</v>
      </c>
      <c r="L148" s="309">
        <f>SUM($G119:L119)</f>
        <v>0</v>
      </c>
      <c r="M148" s="309">
        <f>SUM($G119:M119)</f>
        <v>0</v>
      </c>
      <c r="N148" s="309">
        <f>SUM($G119:N119)</f>
        <v>0</v>
      </c>
      <c r="O148" s="309">
        <f>SUM($G119:O119)</f>
        <v>0</v>
      </c>
      <c r="P148" s="309">
        <f>SUM($G119:P119)</f>
        <v>0</v>
      </c>
    </row>
    <row r="149" spans="1:16" x14ac:dyDescent="0.25">
      <c r="A149" s="181" t="s">
        <v>155</v>
      </c>
      <c r="B149" s="432">
        <f t="shared" si="14"/>
        <v>0</v>
      </c>
      <c r="C149" s="163"/>
      <c r="D149" s="163"/>
      <c r="E149" s="138" t="s">
        <v>26</v>
      </c>
      <c r="G149" s="309">
        <f>SUM($G120:G120)</f>
        <v>0</v>
      </c>
      <c r="H149" s="309">
        <f>SUM($G120:H120)</f>
        <v>0</v>
      </c>
      <c r="I149" s="309">
        <f>SUM($G120:I120)</f>
        <v>0</v>
      </c>
      <c r="J149" s="309">
        <f>SUM($G120:J120)</f>
        <v>0</v>
      </c>
      <c r="K149" s="309">
        <f>SUM($G120:K120)</f>
        <v>0</v>
      </c>
      <c r="L149" s="309">
        <f>SUM($G120:L120)</f>
        <v>0</v>
      </c>
      <c r="M149" s="309">
        <f>SUM($G120:M120)</f>
        <v>0</v>
      </c>
      <c r="N149" s="309">
        <f>SUM($G120:N120)</f>
        <v>0</v>
      </c>
      <c r="O149" s="309">
        <f>SUM($G120:O120)</f>
        <v>0</v>
      </c>
      <c r="P149" s="309">
        <f>SUM($G120:P120)</f>
        <v>0</v>
      </c>
    </row>
    <row r="150" spans="1:16" x14ac:dyDescent="0.25">
      <c r="A150" s="181" t="s">
        <v>156</v>
      </c>
      <c r="B150" s="432">
        <f t="shared" si="14"/>
        <v>0</v>
      </c>
      <c r="C150" s="163"/>
      <c r="D150" s="163"/>
      <c r="E150" s="138" t="s">
        <v>26</v>
      </c>
      <c r="G150" s="309">
        <f>SUM($G121:G121)</f>
        <v>0</v>
      </c>
      <c r="H150" s="309">
        <f>SUM($G121:H121)</f>
        <v>0</v>
      </c>
      <c r="I150" s="309">
        <f>SUM($G121:I121)</f>
        <v>0</v>
      </c>
      <c r="J150" s="309">
        <f>SUM($G121:J121)</f>
        <v>0</v>
      </c>
      <c r="K150" s="309">
        <f>SUM($G121:K121)</f>
        <v>0</v>
      </c>
      <c r="L150" s="309">
        <f>SUM($G121:L121)</f>
        <v>0</v>
      </c>
      <c r="M150" s="309">
        <f>SUM($G121:M121)</f>
        <v>0</v>
      </c>
      <c r="N150" s="309">
        <f>SUM($G121:N121)</f>
        <v>0</v>
      </c>
      <c r="O150" s="309">
        <f>SUM($G121:O121)</f>
        <v>0</v>
      </c>
      <c r="P150" s="309">
        <f>SUM($G121:P121)</f>
        <v>0</v>
      </c>
    </row>
    <row r="151" spans="1:16" x14ac:dyDescent="0.25">
      <c r="A151" s="181" t="s">
        <v>157</v>
      </c>
      <c r="B151" s="432">
        <f t="shared" si="14"/>
        <v>0</v>
      </c>
      <c r="C151" s="163"/>
      <c r="D151" s="163"/>
      <c r="E151" s="138" t="s">
        <v>26</v>
      </c>
      <c r="G151" s="309">
        <f>SUM($G122:G122)</f>
        <v>0</v>
      </c>
      <c r="H151" s="309">
        <f>SUM($G122:H122)</f>
        <v>0</v>
      </c>
      <c r="I151" s="309">
        <f>SUM($G122:I122)</f>
        <v>0</v>
      </c>
      <c r="J151" s="309">
        <f>SUM($G122:J122)</f>
        <v>0</v>
      </c>
      <c r="K151" s="309">
        <f>SUM($G122:K122)</f>
        <v>0</v>
      </c>
      <c r="L151" s="309">
        <f>SUM($G122:L122)</f>
        <v>0</v>
      </c>
      <c r="M151" s="309">
        <f>SUM($G122:M122)</f>
        <v>0</v>
      </c>
      <c r="N151" s="309">
        <f>SUM($G122:N122)</f>
        <v>0</v>
      </c>
      <c r="O151" s="309">
        <f>SUM($G122:O122)</f>
        <v>0</v>
      </c>
      <c r="P151" s="309">
        <f>SUM($G122:P122)</f>
        <v>0</v>
      </c>
    </row>
    <row r="152" spans="1:16" x14ac:dyDescent="0.25">
      <c r="A152" s="181" t="s">
        <v>158</v>
      </c>
      <c r="B152" s="432">
        <f t="shared" si="14"/>
        <v>0</v>
      </c>
      <c r="C152" s="163"/>
      <c r="D152" s="163"/>
      <c r="E152" s="138" t="s">
        <v>26</v>
      </c>
      <c r="G152" s="309">
        <f>SUM($G123:G123)</f>
        <v>0</v>
      </c>
      <c r="H152" s="309">
        <f>SUM($G123:H123)</f>
        <v>0</v>
      </c>
      <c r="I152" s="309">
        <f>SUM($G123:I123)</f>
        <v>0</v>
      </c>
      <c r="J152" s="309">
        <f>SUM($G123:J123)</f>
        <v>0</v>
      </c>
      <c r="K152" s="309">
        <f>SUM($G123:K123)</f>
        <v>0</v>
      </c>
      <c r="L152" s="309">
        <f>SUM($G123:L123)</f>
        <v>0</v>
      </c>
      <c r="M152" s="309">
        <f>SUM($G123:M123)</f>
        <v>0</v>
      </c>
      <c r="N152" s="309">
        <f>SUM($G123:N123)</f>
        <v>0</v>
      </c>
      <c r="O152" s="309">
        <f>SUM($G123:O123)</f>
        <v>0</v>
      </c>
      <c r="P152" s="309">
        <f>SUM($G123:P123)</f>
        <v>0</v>
      </c>
    </row>
    <row r="153" spans="1:16" x14ac:dyDescent="0.25">
      <c r="A153" s="181" t="s">
        <v>159</v>
      </c>
      <c r="B153" s="432">
        <f t="shared" si="14"/>
        <v>0</v>
      </c>
      <c r="C153" s="163"/>
      <c r="D153" s="163"/>
      <c r="E153" s="138" t="s">
        <v>26</v>
      </c>
      <c r="G153" s="309">
        <f>SUM($G124:G124)</f>
        <v>0</v>
      </c>
      <c r="H153" s="309">
        <f>SUM($G124:H124)</f>
        <v>0</v>
      </c>
      <c r="I153" s="309">
        <f>SUM($G124:I124)</f>
        <v>0</v>
      </c>
      <c r="J153" s="309">
        <f>SUM($G124:J124)</f>
        <v>0</v>
      </c>
      <c r="K153" s="309">
        <f>SUM($G124:K124)</f>
        <v>0</v>
      </c>
      <c r="L153" s="309">
        <f>SUM($G124:L124)</f>
        <v>0</v>
      </c>
      <c r="M153" s="309">
        <f>SUM($G124:M124)</f>
        <v>0</v>
      </c>
      <c r="N153" s="309">
        <f>SUM($G124:N124)</f>
        <v>0</v>
      </c>
      <c r="O153" s="309">
        <f>SUM($G124:O124)</f>
        <v>0</v>
      </c>
      <c r="P153" s="309">
        <f>SUM($G124:P124)</f>
        <v>0</v>
      </c>
    </row>
    <row r="154" spans="1:16" x14ac:dyDescent="0.25">
      <c r="A154" s="181" t="s">
        <v>160</v>
      </c>
      <c r="B154" s="432">
        <f t="shared" si="14"/>
        <v>0</v>
      </c>
      <c r="C154" s="163"/>
      <c r="D154" s="163"/>
      <c r="E154" s="138" t="s">
        <v>26</v>
      </c>
      <c r="G154" s="309">
        <f>SUM($G125:G125)</f>
        <v>0</v>
      </c>
      <c r="H154" s="309">
        <f>SUM($G125:H125)</f>
        <v>0</v>
      </c>
      <c r="I154" s="309">
        <f>SUM($G125:I125)</f>
        <v>0</v>
      </c>
      <c r="J154" s="309">
        <f>SUM($G125:J125)</f>
        <v>0</v>
      </c>
      <c r="K154" s="309">
        <f>SUM($G125:K125)</f>
        <v>0</v>
      </c>
      <c r="L154" s="309">
        <f>SUM($G125:L125)</f>
        <v>0</v>
      </c>
      <c r="M154" s="309">
        <f>SUM($G125:M125)</f>
        <v>0</v>
      </c>
      <c r="N154" s="309">
        <f>SUM($G125:N125)</f>
        <v>0</v>
      </c>
      <c r="O154" s="309">
        <f>SUM($G125:O125)</f>
        <v>0</v>
      </c>
      <c r="P154" s="309">
        <f>SUM($G125:P125)</f>
        <v>0</v>
      </c>
    </row>
    <row r="155" spans="1:16" x14ac:dyDescent="0.25">
      <c r="A155" s="181" t="s">
        <v>168</v>
      </c>
      <c r="B155" s="432">
        <f t="shared" si="14"/>
        <v>0</v>
      </c>
      <c r="E155" s="138" t="s">
        <v>26</v>
      </c>
      <c r="G155" s="309">
        <f>SUM($G126:G126)</f>
        <v>0</v>
      </c>
      <c r="H155" s="309">
        <f>SUM($G126:H126)</f>
        <v>0</v>
      </c>
      <c r="I155" s="309">
        <f>SUM($G126:I126)</f>
        <v>0</v>
      </c>
      <c r="J155" s="309">
        <f>SUM($G126:J126)</f>
        <v>0</v>
      </c>
      <c r="K155" s="309">
        <f>SUM($G126:K126)</f>
        <v>0</v>
      </c>
      <c r="L155" s="309">
        <f>SUM($G126:L126)</f>
        <v>0</v>
      </c>
      <c r="M155" s="309">
        <f>SUM($G126:M126)</f>
        <v>0</v>
      </c>
      <c r="N155" s="309">
        <f>SUM($G126:N126)</f>
        <v>0</v>
      </c>
      <c r="O155" s="309">
        <f>SUM($G126:O126)</f>
        <v>0</v>
      </c>
      <c r="P155" s="309">
        <f>SUM($G126:P126)</f>
        <v>0</v>
      </c>
    </row>
    <row r="156" spans="1:16" x14ac:dyDescent="0.25">
      <c r="A156" s="181" t="s">
        <v>169</v>
      </c>
      <c r="B156" s="432">
        <f t="shared" si="14"/>
        <v>0</v>
      </c>
      <c r="E156" s="138" t="s">
        <v>26</v>
      </c>
      <c r="G156" s="309">
        <f>SUM($G127:G127)</f>
        <v>0</v>
      </c>
      <c r="H156" s="309">
        <f>SUM($G127:H127)</f>
        <v>0</v>
      </c>
      <c r="I156" s="309">
        <f>SUM($G127:I127)</f>
        <v>0</v>
      </c>
      <c r="J156" s="309">
        <f>SUM($G127:J127)</f>
        <v>0</v>
      </c>
      <c r="K156" s="309">
        <f>SUM($G127:K127)</f>
        <v>0</v>
      </c>
      <c r="L156" s="309">
        <f>SUM($G127:L127)</f>
        <v>0</v>
      </c>
      <c r="M156" s="309">
        <f>SUM($G127:M127)</f>
        <v>0</v>
      </c>
      <c r="N156" s="309">
        <f>SUM($G127:N127)</f>
        <v>0</v>
      </c>
      <c r="O156" s="309">
        <f>SUM($G127:O127)</f>
        <v>0</v>
      </c>
      <c r="P156" s="309">
        <f>SUM($G127:P127)</f>
        <v>0</v>
      </c>
    </row>
    <row r="157" spans="1:16" x14ac:dyDescent="0.25">
      <c r="A157" s="181" t="s">
        <v>170</v>
      </c>
      <c r="B157" s="432">
        <f t="shared" si="14"/>
        <v>0</v>
      </c>
      <c r="E157" s="138" t="s">
        <v>26</v>
      </c>
      <c r="G157" s="309">
        <f>SUM($G128:G128)</f>
        <v>0</v>
      </c>
      <c r="H157" s="309">
        <f>SUM($G128:H128)</f>
        <v>0</v>
      </c>
      <c r="I157" s="309">
        <f>SUM($G128:I128)</f>
        <v>0</v>
      </c>
      <c r="J157" s="309">
        <f>SUM($G128:J128)</f>
        <v>0</v>
      </c>
      <c r="K157" s="309">
        <f>SUM($G128:K128)</f>
        <v>0</v>
      </c>
      <c r="L157" s="309">
        <f>SUM($G128:L128)</f>
        <v>0</v>
      </c>
      <c r="M157" s="309">
        <f>SUM($G128:M128)</f>
        <v>0</v>
      </c>
      <c r="N157" s="309">
        <f>SUM($G128:N128)</f>
        <v>0</v>
      </c>
      <c r="O157" s="309">
        <f>SUM($G128:O128)</f>
        <v>0</v>
      </c>
      <c r="P157" s="309">
        <f>SUM($G128:P128)</f>
        <v>0</v>
      </c>
    </row>
    <row r="158" spans="1:16" x14ac:dyDescent="0.25">
      <c r="A158" s="181" t="s">
        <v>171</v>
      </c>
      <c r="B158" s="432">
        <f t="shared" si="14"/>
        <v>0</v>
      </c>
      <c r="E158" s="138" t="s">
        <v>26</v>
      </c>
      <c r="G158" s="309">
        <f>SUM($G129:G129)</f>
        <v>0</v>
      </c>
      <c r="H158" s="309">
        <f>SUM($G129:H129)</f>
        <v>0</v>
      </c>
      <c r="I158" s="309">
        <f>SUM($G129:I129)</f>
        <v>0</v>
      </c>
      <c r="J158" s="309">
        <f>SUM($G129:J129)</f>
        <v>0</v>
      </c>
      <c r="K158" s="309">
        <f>SUM($G129:K129)</f>
        <v>0</v>
      </c>
      <c r="L158" s="309">
        <f>SUM($G129:L129)</f>
        <v>0</v>
      </c>
      <c r="M158" s="309">
        <f>SUM($G129:M129)</f>
        <v>0</v>
      </c>
      <c r="N158" s="309">
        <f>SUM($G129:N129)</f>
        <v>0</v>
      </c>
      <c r="O158" s="309">
        <f>SUM($G129:O129)</f>
        <v>0</v>
      </c>
      <c r="P158" s="309">
        <f>SUM($G129:P129)</f>
        <v>0</v>
      </c>
    </row>
    <row r="159" spans="1:16" x14ac:dyDescent="0.25">
      <c r="A159" s="181" t="s">
        <v>172</v>
      </c>
      <c r="B159" s="432">
        <f t="shared" si="14"/>
        <v>0</v>
      </c>
      <c r="E159" s="138" t="s">
        <v>26</v>
      </c>
      <c r="G159" s="309">
        <f>SUM($G130:G130)</f>
        <v>0</v>
      </c>
      <c r="H159" s="309">
        <f>SUM($G130:H130)</f>
        <v>0</v>
      </c>
      <c r="I159" s="309">
        <f>SUM($G130:I130)</f>
        <v>0</v>
      </c>
      <c r="J159" s="309">
        <f>SUM($G130:J130)</f>
        <v>0</v>
      </c>
      <c r="K159" s="309">
        <f>SUM($G130:K130)</f>
        <v>0</v>
      </c>
      <c r="L159" s="309">
        <f>SUM($G130:L130)</f>
        <v>0</v>
      </c>
      <c r="M159" s="309">
        <f>SUM($G130:M130)</f>
        <v>0</v>
      </c>
      <c r="N159" s="309">
        <f>SUM($G130:N130)</f>
        <v>0</v>
      </c>
      <c r="O159" s="309">
        <f>SUM($G130:O130)</f>
        <v>0</v>
      </c>
      <c r="P159" s="309">
        <f>SUM($G130:P130)</f>
        <v>0</v>
      </c>
    </row>
    <row r="160" spans="1:16" x14ac:dyDescent="0.25">
      <c r="A160" s="181" t="s">
        <v>173</v>
      </c>
      <c r="B160" s="432">
        <f t="shared" si="14"/>
        <v>0</v>
      </c>
      <c r="E160" s="138" t="s">
        <v>26</v>
      </c>
      <c r="G160" s="309">
        <f>SUM($G131:G131)</f>
        <v>0</v>
      </c>
      <c r="H160" s="309">
        <f>SUM($G131:H131)</f>
        <v>0</v>
      </c>
      <c r="I160" s="309">
        <f>SUM($G131:I131)</f>
        <v>0</v>
      </c>
      <c r="J160" s="309">
        <f>SUM($G131:J131)</f>
        <v>0</v>
      </c>
      <c r="K160" s="309">
        <f>SUM($G131:K131)</f>
        <v>0</v>
      </c>
      <c r="L160" s="309">
        <f>SUM($G131:L131)</f>
        <v>0</v>
      </c>
      <c r="M160" s="309">
        <f>SUM($G131:M131)</f>
        <v>0</v>
      </c>
      <c r="N160" s="309">
        <f>SUM($G131:N131)</f>
        <v>0</v>
      </c>
      <c r="O160" s="309">
        <f>SUM($G131:O131)</f>
        <v>0</v>
      </c>
      <c r="P160" s="309">
        <f>SUM($G131:P131)</f>
        <v>0</v>
      </c>
    </row>
    <row r="161" spans="1:17" x14ac:dyDescent="0.25">
      <c r="A161" s="181" t="s">
        <v>174</v>
      </c>
      <c r="B161" s="432">
        <f t="shared" si="14"/>
        <v>0</v>
      </c>
      <c r="E161" s="138" t="s">
        <v>26</v>
      </c>
      <c r="G161" s="309">
        <f>SUM($G132:G132)</f>
        <v>0</v>
      </c>
      <c r="H161" s="309">
        <f>SUM($G132:H132)</f>
        <v>0</v>
      </c>
      <c r="I161" s="309">
        <f>SUM($G132:I132)</f>
        <v>0</v>
      </c>
      <c r="J161" s="309">
        <f>SUM($G132:J132)</f>
        <v>0</v>
      </c>
      <c r="K161" s="309">
        <f>SUM($G132:K132)</f>
        <v>0</v>
      </c>
      <c r="L161" s="309">
        <f>SUM($G132:L132)</f>
        <v>0</v>
      </c>
      <c r="M161" s="309">
        <f>SUM($G132:M132)</f>
        <v>0</v>
      </c>
      <c r="N161" s="309">
        <f>SUM($G132:N132)</f>
        <v>0</v>
      </c>
      <c r="O161" s="309">
        <f>SUM($G132:O132)</f>
        <v>0</v>
      </c>
      <c r="P161" s="309">
        <f>SUM($G132:P132)</f>
        <v>0</v>
      </c>
    </row>
    <row r="162" spans="1:17" x14ac:dyDescent="0.25">
      <c r="A162" s="181" t="s">
        <v>175</v>
      </c>
      <c r="B162" s="432">
        <f t="shared" si="14"/>
        <v>0</v>
      </c>
      <c r="E162" s="138" t="s">
        <v>26</v>
      </c>
      <c r="G162" s="309">
        <f>SUM($G133:G133)</f>
        <v>0</v>
      </c>
      <c r="H162" s="309">
        <f>SUM($G133:H133)</f>
        <v>0</v>
      </c>
      <c r="I162" s="309">
        <f>SUM($G133:I133)</f>
        <v>0</v>
      </c>
      <c r="J162" s="309">
        <f>SUM($G133:J133)</f>
        <v>0</v>
      </c>
      <c r="K162" s="309">
        <f>SUM($G133:K133)</f>
        <v>0</v>
      </c>
      <c r="L162" s="309">
        <f>SUM($G133:L133)</f>
        <v>0</v>
      </c>
      <c r="M162" s="309">
        <f>SUM($G133:M133)</f>
        <v>0</v>
      </c>
      <c r="N162" s="309">
        <f>SUM($G133:N133)</f>
        <v>0</v>
      </c>
      <c r="O162" s="309">
        <f>SUM($G133:O133)</f>
        <v>0</v>
      </c>
      <c r="P162" s="309">
        <f>SUM($G133:P133)</f>
        <v>0</v>
      </c>
    </row>
    <row r="163" spans="1:17" x14ac:dyDescent="0.25">
      <c r="A163" s="181" t="s">
        <v>176</v>
      </c>
      <c r="B163" s="432">
        <f t="shared" si="14"/>
        <v>0</v>
      </c>
      <c r="E163" s="138" t="s">
        <v>26</v>
      </c>
      <c r="G163" s="309">
        <f>SUM($G134:G134)</f>
        <v>0</v>
      </c>
      <c r="H163" s="309">
        <f>SUM($G134:H134)</f>
        <v>0</v>
      </c>
      <c r="I163" s="309">
        <f>SUM($G134:I134)</f>
        <v>0</v>
      </c>
      <c r="J163" s="309">
        <f>SUM($G134:J134)</f>
        <v>0</v>
      </c>
      <c r="K163" s="309">
        <f>SUM($G134:K134)</f>
        <v>0</v>
      </c>
      <c r="L163" s="309">
        <f>SUM($G134:L134)</f>
        <v>0</v>
      </c>
      <c r="M163" s="309">
        <f>SUM($G134:M134)</f>
        <v>0</v>
      </c>
      <c r="N163" s="309">
        <f>SUM($G134:N134)</f>
        <v>0</v>
      </c>
      <c r="O163" s="309">
        <f>SUM($G134:O134)</f>
        <v>0</v>
      </c>
      <c r="P163" s="309">
        <f>SUM($G134:P134)</f>
        <v>0</v>
      </c>
    </row>
    <row r="164" spans="1:17" x14ac:dyDescent="0.25">
      <c r="A164" s="181" t="s">
        <v>177</v>
      </c>
      <c r="B164" s="433">
        <f t="shared" si="14"/>
        <v>0</v>
      </c>
      <c r="C164" s="128"/>
      <c r="D164" s="128"/>
      <c r="E164" s="216" t="s">
        <v>26</v>
      </c>
      <c r="F164" s="216"/>
      <c r="G164" s="309">
        <f>SUM($G135:G135)</f>
        <v>0</v>
      </c>
      <c r="H164" s="309">
        <f>SUM($G135:H135)</f>
        <v>0</v>
      </c>
      <c r="I164" s="309">
        <f>SUM($G135:I135)</f>
        <v>0</v>
      </c>
      <c r="J164" s="309">
        <f>SUM($G135:J135)</f>
        <v>0</v>
      </c>
      <c r="K164" s="309">
        <f>SUM($G135:K135)</f>
        <v>0</v>
      </c>
      <c r="L164" s="309">
        <f>SUM($G135:L135)</f>
        <v>0</v>
      </c>
      <c r="M164" s="309">
        <f>SUM($G135:M135)</f>
        <v>0</v>
      </c>
      <c r="N164" s="309">
        <f>SUM($G135:N135)</f>
        <v>0</v>
      </c>
      <c r="O164" s="309">
        <f>SUM($G135:O135)</f>
        <v>0</v>
      </c>
      <c r="P164" s="309">
        <f>SUM($G135:P135)</f>
        <v>0</v>
      </c>
    </row>
    <row r="165" spans="1:17" x14ac:dyDescent="0.25">
      <c r="A165" s="193"/>
      <c r="B165" s="173" t="s">
        <v>196</v>
      </c>
      <c r="C165" s="160"/>
      <c r="D165" s="160"/>
      <c r="E165" s="174" t="s">
        <v>26</v>
      </c>
      <c r="F165" s="174"/>
      <c r="G165" s="219">
        <f>SUM(G145:G164)</f>
        <v>5</v>
      </c>
      <c r="H165" s="219">
        <f t="shared" ref="H165:P165" si="15">SUM(H145:H164)</f>
        <v>15</v>
      </c>
      <c r="I165" s="219">
        <f t="shared" si="15"/>
        <v>28</v>
      </c>
      <c r="J165" s="219">
        <f t="shared" si="15"/>
        <v>30</v>
      </c>
      <c r="K165" s="219">
        <f t="shared" si="15"/>
        <v>30</v>
      </c>
      <c r="L165" s="219">
        <f t="shared" si="15"/>
        <v>30</v>
      </c>
      <c r="M165" s="219">
        <f t="shared" si="15"/>
        <v>30</v>
      </c>
      <c r="N165" s="219">
        <f t="shared" si="15"/>
        <v>30</v>
      </c>
      <c r="O165" s="219">
        <f t="shared" si="15"/>
        <v>30</v>
      </c>
      <c r="P165" s="219">
        <f t="shared" si="15"/>
        <v>30</v>
      </c>
    </row>
    <row r="166" spans="1:17" x14ac:dyDescent="0.25">
      <c r="A166" s="181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</row>
    <row r="167" spans="1:17" ht="15" customHeight="1" x14ac:dyDescent="0.25">
      <c r="A167" s="181"/>
      <c r="B167" s="164" t="s">
        <v>217</v>
      </c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</row>
    <row r="168" spans="1:17" ht="50.25" customHeight="1" x14ac:dyDescent="0.25">
      <c r="A168" s="183"/>
      <c r="B168" s="130" t="s">
        <v>178</v>
      </c>
      <c r="E168" s="161"/>
      <c r="F168" s="161"/>
      <c r="G168" s="137" t="s">
        <v>380</v>
      </c>
      <c r="H168" s="156"/>
      <c r="I168" s="156"/>
      <c r="J168" s="156"/>
      <c r="K168" s="156"/>
      <c r="L168" s="156"/>
      <c r="M168" s="156"/>
      <c r="N168" s="156"/>
      <c r="O168" s="156"/>
      <c r="P168" s="156"/>
      <c r="Q168" s="128"/>
    </row>
    <row r="169" spans="1:17" ht="15" customHeight="1" x14ac:dyDescent="0.25">
      <c r="A169" s="180" t="s">
        <v>151</v>
      </c>
      <c r="B169" s="432" t="str">
        <f>B145</f>
        <v>Административный персонал</v>
      </c>
      <c r="C169" s="211"/>
      <c r="D169" s="211"/>
      <c r="E169" s="138" t="s">
        <v>27</v>
      </c>
      <c r="G169" s="154">
        <v>34</v>
      </c>
      <c r="H169" s="155"/>
      <c r="I169" s="155"/>
      <c r="J169" s="155"/>
      <c r="K169" s="155"/>
      <c r="L169" s="155"/>
      <c r="M169" s="155"/>
      <c r="N169" s="155"/>
      <c r="O169" s="155"/>
      <c r="P169" s="155"/>
      <c r="Q169" s="128"/>
    </row>
    <row r="170" spans="1:17" ht="15" customHeight="1" x14ac:dyDescent="0.25">
      <c r="A170" s="180" t="s">
        <v>152</v>
      </c>
      <c r="B170" s="432" t="str">
        <f t="shared" ref="B170:B188" si="16">B146</f>
        <v>Производственный персонал</v>
      </c>
      <c r="C170" s="211"/>
      <c r="D170" s="211"/>
      <c r="E170" s="138" t="s">
        <v>27</v>
      </c>
      <c r="G170" s="581">
        <v>22.6</v>
      </c>
      <c r="H170" s="155"/>
      <c r="I170" s="155"/>
      <c r="J170" s="155"/>
      <c r="K170" s="155"/>
      <c r="L170" s="155"/>
      <c r="M170" s="155"/>
      <c r="N170" s="155"/>
      <c r="O170" s="155"/>
      <c r="P170" s="155"/>
      <c r="Q170" s="128"/>
    </row>
    <row r="171" spans="1:17" ht="15" customHeight="1" x14ac:dyDescent="0.25">
      <c r="A171" s="180" t="s">
        <v>153</v>
      </c>
      <c r="B171" s="432">
        <f t="shared" si="16"/>
        <v>0</v>
      </c>
      <c r="C171" s="211"/>
      <c r="D171" s="211"/>
      <c r="E171" s="138" t="s">
        <v>27</v>
      </c>
      <c r="G171" s="154"/>
      <c r="H171" s="155"/>
      <c r="I171" s="155"/>
      <c r="J171" s="155"/>
      <c r="K171" s="155"/>
      <c r="L171" s="155"/>
      <c r="M171" s="155"/>
      <c r="N171" s="155"/>
      <c r="O171" s="155"/>
      <c r="P171" s="155"/>
      <c r="Q171" s="128"/>
    </row>
    <row r="172" spans="1:17" x14ac:dyDescent="0.25">
      <c r="A172" s="180" t="s">
        <v>154</v>
      </c>
      <c r="B172" s="432">
        <f t="shared" si="16"/>
        <v>0</v>
      </c>
      <c r="C172" s="211"/>
      <c r="D172" s="211"/>
      <c r="E172" s="138" t="s">
        <v>27</v>
      </c>
      <c r="G172" s="154"/>
      <c r="H172" s="155"/>
      <c r="I172" s="155"/>
      <c r="J172" s="155"/>
      <c r="K172" s="155"/>
      <c r="L172" s="155"/>
      <c r="M172" s="155"/>
      <c r="N172" s="155"/>
      <c r="O172" s="155"/>
      <c r="P172" s="155"/>
      <c r="Q172" s="128"/>
    </row>
    <row r="173" spans="1:17" x14ac:dyDescent="0.25">
      <c r="A173" s="181" t="s">
        <v>155</v>
      </c>
      <c r="B173" s="432">
        <f t="shared" si="16"/>
        <v>0</v>
      </c>
      <c r="C173" s="211"/>
      <c r="D173" s="211"/>
      <c r="E173" s="138" t="s">
        <v>27</v>
      </c>
      <c r="G173" s="154"/>
      <c r="H173" s="155"/>
      <c r="I173" s="155"/>
      <c r="J173" s="155"/>
      <c r="K173" s="155"/>
      <c r="L173" s="155"/>
      <c r="M173" s="155"/>
      <c r="N173" s="155"/>
      <c r="O173" s="155"/>
      <c r="P173" s="155"/>
      <c r="Q173" s="128"/>
    </row>
    <row r="174" spans="1:17" x14ac:dyDescent="0.25">
      <c r="A174" s="181" t="s">
        <v>156</v>
      </c>
      <c r="B174" s="432">
        <f t="shared" si="16"/>
        <v>0</v>
      </c>
      <c r="C174" s="211"/>
      <c r="D174" s="211"/>
      <c r="E174" s="138" t="s">
        <v>27</v>
      </c>
      <c r="G174" s="154"/>
      <c r="H174" s="155"/>
      <c r="I174" s="155"/>
      <c r="J174" s="155"/>
      <c r="K174" s="155"/>
      <c r="L174" s="155"/>
      <c r="M174" s="155"/>
      <c r="N174" s="155"/>
      <c r="O174" s="155"/>
      <c r="P174" s="155"/>
      <c r="Q174" s="128"/>
    </row>
    <row r="175" spans="1:17" x14ac:dyDescent="0.25">
      <c r="A175" s="181" t="s">
        <v>157</v>
      </c>
      <c r="B175" s="432">
        <f t="shared" si="16"/>
        <v>0</v>
      </c>
      <c r="C175" s="211"/>
      <c r="D175" s="211"/>
      <c r="E175" s="138" t="s">
        <v>27</v>
      </c>
      <c r="G175" s="154"/>
      <c r="H175" s="155"/>
      <c r="I175" s="155"/>
      <c r="J175" s="155"/>
      <c r="K175" s="155"/>
      <c r="L175" s="155"/>
      <c r="M175" s="155"/>
      <c r="N175" s="155"/>
      <c r="O175" s="155"/>
      <c r="P175" s="155"/>
      <c r="Q175" s="128"/>
    </row>
    <row r="176" spans="1:17" x14ac:dyDescent="0.25">
      <c r="A176" s="181" t="s">
        <v>158</v>
      </c>
      <c r="B176" s="432">
        <f t="shared" si="16"/>
        <v>0</v>
      </c>
      <c r="C176" s="211"/>
      <c r="D176" s="211"/>
      <c r="E176" s="138" t="s">
        <v>27</v>
      </c>
      <c r="G176" s="154"/>
      <c r="H176" s="155"/>
      <c r="I176" s="155"/>
      <c r="J176" s="155"/>
      <c r="K176" s="155"/>
      <c r="L176" s="155"/>
      <c r="M176" s="155"/>
      <c r="N176" s="155"/>
      <c r="O176" s="155"/>
      <c r="P176" s="155"/>
      <c r="Q176" s="128"/>
    </row>
    <row r="177" spans="1:17" ht="15" customHeight="1" x14ac:dyDescent="0.25">
      <c r="A177" s="181" t="s">
        <v>159</v>
      </c>
      <c r="B177" s="432">
        <f t="shared" si="16"/>
        <v>0</v>
      </c>
      <c r="C177" s="211"/>
      <c r="D177" s="211"/>
      <c r="E177" s="138" t="s">
        <v>27</v>
      </c>
      <c r="G177" s="154"/>
      <c r="H177" s="155"/>
      <c r="I177" s="155"/>
      <c r="J177" s="155"/>
      <c r="K177" s="155"/>
      <c r="L177" s="155"/>
      <c r="M177" s="155"/>
      <c r="N177" s="155"/>
      <c r="O177" s="155"/>
      <c r="P177" s="155"/>
      <c r="Q177" s="128"/>
    </row>
    <row r="178" spans="1:17" x14ac:dyDescent="0.25">
      <c r="A178" s="181" t="s">
        <v>160</v>
      </c>
      <c r="B178" s="432">
        <f t="shared" si="16"/>
        <v>0</v>
      </c>
      <c r="C178" s="211"/>
      <c r="D178" s="211"/>
      <c r="E178" s="138" t="s">
        <v>27</v>
      </c>
      <c r="G178" s="154"/>
      <c r="H178" s="155"/>
      <c r="I178" s="155"/>
      <c r="J178" s="155"/>
      <c r="K178" s="155"/>
      <c r="L178" s="155"/>
      <c r="M178" s="155"/>
      <c r="N178" s="155"/>
      <c r="O178" s="155"/>
      <c r="P178" s="155"/>
      <c r="Q178" s="128"/>
    </row>
    <row r="179" spans="1:17" ht="15" customHeight="1" x14ac:dyDescent="0.25">
      <c r="A179" s="181" t="s">
        <v>168</v>
      </c>
      <c r="B179" s="432">
        <f t="shared" si="16"/>
        <v>0</v>
      </c>
      <c r="C179" s="211"/>
      <c r="D179" s="211"/>
      <c r="E179" s="138" t="s">
        <v>27</v>
      </c>
      <c r="G179" s="154"/>
      <c r="H179" s="155"/>
      <c r="I179" s="155"/>
      <c r="J179" s="155"/>
      <c r="K179" s="155"/>
      <c r="L179" s="155"/>
      <c r="M179" s="155"/>
      <c r="N179" s="155"/>
      <c r="O179" s="155"/>
      <c r="P179" s="155"/>
      <c r="Q179" s="128"/>
    </row>
    <row r="180" spans="1:17" ht="15" customHeight="1" x14ac:dyDescent="0.25">
      <c r="A180" s="181" t="s">
        <v>169</v>
      </c>
      <c r="B180" s="432">
        <f t="shared" si="16"/>
        <v>0</v>
      </c>
      <c r="C180" s="211"/>
      <c r="D180" s="211"/>
      <c r="E180" s="138" t="s">
        <v>27</v>
      </c>
      <c r="G180" s="154"/>
      <c r="H180" s="155"/>
      <c r="I180" s="155"/>
      <c r="J180" s="155"/>
      <c r="K180" s="155"/>
      <c r="L180" s="155"/>
      <c r="M180" s="155"/>
      <c r="N180" s="155"/>
      <c r="O180" s="155"/>
      <c r="P180" s="155"/>
      <c r="Q180" s="128"/>
    </row>
    <row r="181" spans="1:17" x14ac:dyDescent="0.25">
      <c r="A181" s="181" t="s">
        <v>170</v>
      </c>
      <c r="B181" s="432">
        <f t="shared" si="16"/>
        <v>0</v>
      </c>
      <c r="C181" s="211"/>
      <c r="D181" s="211"/>
      <c r="E181" s="138" t="s">
        <v>27</v>
      </c>
      <c r="G181" s="154"/>
      <c r="H181" s="155"/>
      <c r="I181" s="155"/>
      <c r="J181" s="155"/>
      <c r="K181" s="155"/>
      <c r="L181" s="155"/>
      <c r="M181" s="155"/>
      <c r="N181" s="155"/>
      <c r="O181" s="155"/>
      <c r="P181" s="155"/>
      <c r="Q181" s="128"/>
    </row>
    <row r="182" spans="1:17" x14ac:dyDescent="0.25">
      <c r="A182" s="181" t="s">
        <v>171</v>
      </c>
      <c r="B182" s="432">
        <f t="shared" si="16"/>
        <v>0</v>
      </c>
      <c r="C182" s="211"/>
      <c r="D182" s="211"/>
      <c r="E182" s="138" t="s">
        <v>27</v>
      </c>
      <c r="G182" s="154"/>
      <c r="H182" s="155"/>
      <c r="I182" s="155"/>
      <c r="J182" s="155"/>
      <c r="K182" s="155"/>
      <c r="L182" s="155"/>
      <c r="M182" s="155"/>
      <c r="N182" s="155"/>
      <c r="O182" s="155"/>
      <c r="P182" s="155"/>
      <c r="Q182" s="128"/>
    </row>
    <row r="183" spans="1:17" x14ac:dyDescent="0.25">
      <c r="A183" s="181" t="s">
        <v>172</v>
      </c>
      <c r="B183" s="432">
        <f t="shared" si="16"/>
        <v>0</v>
      </c>
      <c r="C183" s="211"/>
      <c r="D183" s="211"/>
      <c r="E183" s="138" t="s">
        <v>27</v>
      </c>
      <c r="G183" s="154"/>
      <c r="H183" s="155"/>
      <c r="I183" s="155"/>
      <c r="J183" s="155"/>
      <c r="K183" s="155"/>
      <c r="L183" s="155"/>
      <c r="M183" s="155"/>
      <c r="N183" s="155"/>
      <c r="O183" s="155"/>
      <c r="P183" s="155"/>
      <c r="Q183" s="128"/>
    </row>
    <row r="184" spans="1:17" x14ac:dyDescent="0.25">
      <c r="A184" s="181" t="s">
        <v>173</v>
      </c>
      <c r="B184" s="432">
        <f t="shared" si="16"/>
        <v>0</v>
      </c>
      <c r="C184" s="211"/>
      <c r="D184" s="211"/>
      <c r="E184" s="138" t="s">
        <v>27</v>
      </c>
      <c r="G184" s="154"/>
      <c r="H184" s="155"/>
      <c r="I184" s="155"/>
      <c r="J184" s="155"/>
      <c r="K184" s="155"/>
      <c r="L184" s="155"/>
      <c r="M184" s="155"/>
      <c r="N184" s="155"/>
      <c r="O184" s="155"/>
      <c r="P184" s="155"/>
      <c r="Q184" s="128"/>
    </row>
    <row r="185" spans="1:17" x14ac:dyDescent="0.25">
      <c r="A185" s="181" t="s">
        <v>174</v>
      </c>
      <c r="B185" s="432">
        <f t="shared" si="16"/>
        <v>0</v>
      </c>
      <c r="C185" s="211"/>
      <c r="D185" s="211"/>
      <c r="E185" s="138" t="s">
        <v>27</v>
      </c>
      <c r="G185" s="154"/>
      <c r="H185" s="155"/>
      <c r="I185" s="155"/>
      <c r="J185" s="155"/>
      <c r="K185" s="155"/>
      <c r="L185" s="155"/>
      <c r="M185" s="155"/>
      <c r="N185" s="155"/>
      <c r="O185" s="155"/>
      <c r="P185" s="155"/>
      <c r="Q185" s="128"/>
    </row>
    <row r="186" spans="1:17" x14ac:dyDescent="0.25">
      <c r="A186" s="181" t="s">
        <v>175</v>
      </c>
      <c r="B186" s="432">
        <f t="shared" si="16"/>
        <v>0</v>
      </c>
      <c r="C186" s="211"/>
      <c r="D186" s="211"/>
      <c r="E186" s="138" t="s">
        <v>27</v>
      </c>
      <c r="G186" s="154"/>
      <c r="H186" s="155"/>
      <c r="I186" s="155"/>
      <c r="J186" s="155"/>
      <c r="K186" s="155"/>
      <c r="L186" s="155"/>
      <c r="M186" s="155"/>
      <c r="N186" s="155"/>
      <c r="O186" s="155"/>
      <c r="P186" s="155"/>
      <c r="Q186" s="128"/>
    </row>
    <row r="187" spans="1:17" x14ac:dyDescent="0.25">
      <c r="A187" s="181" t="s">
        <v>176</v>
      </c>
      <c r="B187" s="432">
        <f t="shared" si="16"/>
        <v>0</v>
      </c>
      <c r="C187" s="211"/>
      <c r="D187" s="211"/>
      <c r="E187" s="138" t="s">
        <v>27</v>
      </c>
      <c r="G187" s="154"/>
      <c r="H187" s="155"/>
      <c r="I187" s="155"/>
      <c r="J187" s="155"/>
      <c r="K187" s="155"/>
      <c r="L187" s="155"/>
      <c r="M187" s="155"/>
      <c r="N187" s="155"/>
      <c r="O187" s="155"/>
      <c r="P187" s="155"/>
      <c r="Q187" s="128"/>
    </row>
    <row r="188" spans="1:17" x14ac:dyDescent="0.25">
      <c r="A188" s="181" t="s">
        <v>177</v>
      </c>
      <c r="B188" s="432">
        <f t="shared" si="16"/>
        <v>0</v>
      </c>
      <c r="C188" s="213"/>
      <c r="D188" s="213"/>
      <c r="E188" s="138" t="s">
        <v>27</v>
      </c>
      <c r="G188" s="154"/>
      <c r="H188" s="155"/>
      <c r="I188" s="155"/>
      <c r="J188" s="155"/>
      <c r="K188" s="155"/>
      <c r="L188" s="155"/>
      <c r="M188" s="155"/>
      <c r="N188" s="155"/>
      <c r="O188" s="155"/>
      <c r="P188" s="155"/>
      <c r="Q188" s="128"/>
    </row>
    <row r="189" spans="1:17" x14ac:dyDescent="0.25">
      <c r="A189" s="181"/>
      <c r="B189" s="307" t="s">
        <v>337</v>
      </c>
      <c r="C189" s="331"/>
      <c r="D189" s="331"/>
      <c r="E189" s="174"/>
      <c r="F189" s="174"/>
      <c r="G189" s="332"/>
      <c r="H189" s="155"/>
      <c r="I189" s="155"/>
      <c r="J189" s="155"/>
      <c r="K189" s="155"/>
      <c r="L189" s="155"/>
      <c r="M189" s="155"/>
      <c r="N189" s="155"/>
      <c r="O189" s="155"/>
      <c r="P189" s="155"/>
      <c r="Q189" s="128"/>
    </row>
    <row r="190" spans="1:17" ht="42.75" customHeight="1" x14ac:dyDescent="0.25">
      <c r="A190" s="181"/>
      <c r="B190" s="673" t="s">
        <v>222</v>
      </c>
      <c r="C190" s="673"/>
      <c r="D190" s="673"/>
      <c r="E190" s="673"/>
      <c r="F190" s="673"/>
      <c r="G190" s="673"/>
      <c r="H190" s="155"/>
      <c r="I190" s="155"/>
      <c r="J190" s="155"/>
      <c r="K190" s="155"/>
      <c r="L190" s="155"/>
      <c r="M190" s="155"/>
      <c r="N190" s="155"/>
      <c r="O190" s="155"/>
      <c r="P190" s="155"/>
      <c r="Q190" s="128"/>
    </row>
    <row r="191" spans="1:17" ht="52.5" customHeight="1" x14ac:dyDescent="0.25">
      <c r="A191" s="181"/>
      <c r="B191" s="674" t="s">
        <v>223</v>
      </c>
      <c r="C191" s="674"/>
      <c r="D191" s="674"/>
      <c r="E191" s="674"/>
      <c r="F191" s="674"/>
      <c r="G191" s="674"/>
      <c r="H191" s="155"/>
      <c r="I191" s="155"/>
      <c r="J191" s="155"/>
      <c r="K191" s="155"/>
      <c r="L191" s="155"/>
      <c r="M191" s="155"/>
      <c r="N191" s="155"/>
      <c r="O191" s="155"/>
      <c r="P191" s="155"/>
      <c r="Q191" s="128"/>
    </row>
    <row r="192" spans="1:17" ht="31.5" customHeight="1" x14ac:dyDescent="0.25">
      <c r="A192" s="181"/>
      <c r="B192" s="423" t="s">
        <v>404</v>
      </c>
      <c r="C192" s="424" t="s">
        <v>338</v>
      </c>
      <c r="D192" s="308"/>
      <c r="E192" s="129" t="s">
        <v>27</v>
      </c>
      <c r="G192" s="154">
        <v>40.567999999999998</v>
      </c>
      <c r="H192" s="155"/>
      <c r="I192" s="155"/>
      <c r="J192" s="155"/>
      <c r="K192" s="155"/>
      <c r="L192" s="155"/>
      <c r="M192" s="155"/>
      <c r="N192" s="155"/>
      <c r="O192" s="155"/>
      <c r="P192" s="155"/>
      <c r="Q192" s="128"/>
    </row>
    <row r="193" spans="1:17" ht="16.5" customHeight="1" x14ac:dyDescent="0.25">
      <c r="A193" s="181"/>
      <c r="B193" s="217" t="s">
        <v>361</v>
      </c>
      <c r="C193" s="308"/>
      <c r="D193" s="308"/>
      <c r="E193" s="129" t="s">
        <v>27</v>
      </c>
      <c r="G193" s="372">
        <f>AVERAGE(G169:G170)</f>
        <v>28.3</v>
      </c>
      <c r="H193" s="155"/>
      <c r="I193" s="155"/>
      <c r="J193" s="155"/>
      <c r="K193" s="155"/>
      <c r="L193" s="155"/>
      <c r="M193" s="155"/>
      <c r="N193" s="155"/>
      <c r="O193" s="155"/>
      <c r="P193" s="155"/>
      <c r="Q193" s="128"/>
    </row>
    <row r="194" spans="1:17" x14ac:dyDescent="0.25">
      <c r="A194" s="212"/>
      <c r="B194" s="212"/>
      <c r="C194" s="211"/>
      <c r="D194" s="211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</row>
    <row r="195" spans="1:17" x14ac:dyDescent="0.25">
      <c r="A195" s="184"/>
      <c r="B195" s="164" t="s">
        <v>180</v>
      </c>
      <c r="C195" s="164"/>
      <c r="D195" s="164"/>
      <c r="E195" s="206"/>
      <c r="F195" s="20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</row>
    <row r="196" spans="1:17" x14ac:dyDescent="0.25">
      <c r="A196" s="184"/>
      <c r="B196" s="117" t="s">
        <v>362</v>
      </c>
      <c r="C196" s="164"/>
      <c r="D196" s="164"/>
      <c r="E196" s="206" t="s">
        <v>14</v>
      </c>
      <c r="F196" s="206"/>
      <c r="G196" s="168">
        <v>0.22</v>
      </c>
      <c r="H196" s="166"/>
      <c r="I196" s="166"/>
      <c r="J196" s="166"/>
      <c r="K196" s="166"/>
      <c r="L196" s="166"/>
      <c r="M196" s="166"/>
      <c r="N196" s="166"/>
      <c r="O196" s="166"/>
      <c r="P196" s="166"/>
    </row>
    <row r="197" spans="1:17" x14ac:dyDescent="0.25">
      <c r="A197" s="184"/>
      <c r="B197" s="117" t="s">
        <v>405</v>
      </c>
      <c r="C197" s="164"/>
      <c r="D197" s="164"/>
      <c r="E197" s="206" t="s">
        <v>14</v>
      </c>
      <c r="F197" s="206"/>
      <c r="G197" s="168">
        <v>5.0999999999999997E-2</v>
      </c>
      <c r="H197" s="166"/>
      <c r="I197" s="166"/>
      <c r="J197" s="166"/>
      <c r="K197" s="166"/>
      <c r="L197" s="166"/>
      <c r="M197" s="166"/>
      <c r="N197" s="166"/>
      <c r="O197" s="166"/>
      <c r="P197" s="166"/>
    </row>
    <row r="198" spans="1:17" x14ac:dyDescent="0.25">
      <c r="A198" s="184"/>
      <c r="B198" s="117" t="s">
        <v>363</v>
      </c>
      <c r="C198" s="164"/>
      <c r="D198" s="164"/>
      <c r="E198" s="206" t="s">
        <v>14</v>
      </c>
      <c r="F198" s="206"/>
      <c r="G198" s="168">
        <v>2.9000000000000001E-2</v>
      </c>
      <c r="H198" s="166"/>
      <c r="I198" s="166"/>
      <c r="J198" s="166"/>
      <c r="K198" s="166"/>
      <c r="L198" s="166"/>
      <c r="M198" s="166"/>
      <c r="N198" s="166"/>
      <c r="O198" s="166"/>
      <c r="P198" s="166"/>
    </row>
    <row r="199" spans="1:17" x14ac:dyDescent="0.25">
      <c r="A199" s="184"/>
      <c r="B199" s="117" t="s">
        <v>406</v>
      </c>
      <c r="C199" s="164"/>
      <c r="D199" s="164"/>
      <c r="E199" s="206" t="s">
        <v>14</v>
      </c>
      <c r="F199" s="206"/>
      <c r="G199" s="168">
        <v>6.0000000000000001E-3</v>
      </c>
      <c r="H199" s="166"/>
      <c r="I199" s="166"/>
      <c r="J199" s="166"/>
      <c r="K199" s="166"/>
      <c r="L199" s="166"/>
      <c r="M199" s="166"/>
      <c r="N199" s="166"/>
      <c r="O199" s="166"/>
      <c r="P199" s="166"/>
    </row>
    <row r="200" spans="1:17" x14ac:dyDescent="0.25">
      <c r="A200" s="181"/>
      <c r="B200" s="160" t="s">
        <v>364</v>
      </c>
      <c r="C200" s="160"/>
      <c r="D200" s="160"/>
      <c r="E200" s="174" t="s">
        <v>14</v>
      </c>
      <c r="F200" s="174"/>
      <c r="G200" s="371">
        <f>SUM(G196:G199)</f>
        <v>0.30600000000000005</v>
      </c>
      <c r="H200" s="157"/>
      <c r="I200" s="157"/>
      <c r="J200" s="157"/>
      <c r="K200" s="157"/>
      <c r="L200" s="157"/>
      <c r="M200" s="157"/>
      <c r="N200" s="157"/>
      <c r="O200" s="157"/>
      <c r="P200" s="157"/>
    </row>
    <row r="201" spans="1:17" x14ac:dyDescent="0.25">
      <c r="A201" s="183"/>
      <c r="B201" s="130"/>
      <c r="C201" s="130"/>
      <c r="D201" s="130"/>
    </row>
    <row r="202" spans="1:17" x14ac:dyDescent="0.25">
      <c r="A202" s="183"/>
      <c r="B202" s="164" t="s">
        <v>273</v>
      </c>
      <c r="C202" s="164"/>
      <c r="D202" s="164"/>
      <c r="E202" s="207"/>
      <c r="F202" s="207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</row>
    <row r="203" spans="1:17" x14ac:dyDescent="0.25">
      <c r="A203" s="183"/>
      <c r="B203" s="164"/>
      <c r="C203" s="164"/>
      <c r="D203" s="164"/>
      <c r="E203" s="207"/>
      <c r="F203" s="207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</row>
    <row r="204" spans="1:17" x14ac:dyDescent="0.25">
      <c r="A204" s="183"/>
      <c r="B204" s="164"/>
      <c r="C204" s="164"/>
      <c r="D204" s="164"/>
      <c r="E204" s="207"/>
      <c r="F204" s="207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</row>
    <row r="205" spans="1:17" x14ac:dyDescent="0.25">
      <c r="A205" s="183"/>
      <c r="B205" s="164"/>
      <c r="C205" s="164"/>
      <c r="D205" s="164"/>
      <c r="E205" s="207"/>
      <c r="F205" s="207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</row>
    <row r="206" spans="1:17" x14ac:dyDescent="0.25">
      <c r="B206" s="173" t="s">
        <v>192</v>
      </c>
      <c r="C206" s="173"/>
      <c r="D206" s="173"/>
    </row>
    <row r="207" spans="1:17" x14ac:dyDescent="0.25">
      <c r="B207" s="489" t="s">
        <v>274</v>
      </c>
      <c r="C207" s="490"/>
      <c r="D207" s="491"/>
      <c r="E207" s="492"/>
      <c r="F207" s="239"/>
      <c r="G207" s="169" t="s">
        <v>523</v>
      </c>
      <c r="H207" s="507"/>
    </row>
    <row r="208" spans="1:17" x14ac:dyDescent="0.25">
      <c r="B208" s="495" t="s">
        <v>35</v>
      </c>
      <c r="C208" s="495"/>
      <c r="D208" s="495"/>
      <c r="E208" s="501" t="s">
        <v>36</v>
      </c>
      <c r="F208" s="141"/>
      <c r="G208" s="169" t="s">
        <v>524</v>
      </c>
    </row>
    <row r="209" spans="2:8" x14ac:dyDescent="0.25">
      <c r="B209" s="493" t="s">
        <v>220</v>
      </c>
      <c r="C209" s="494"/>
      <c r="D209" s="495"/>
      <c r="E209" s="496" t="s">
        <v>210</v>
      </c>
      <c r="F209" s="129"/>
      <c r="G209" s="169">
        <v>2022</v>
      </c>
    </row>
    <row r="210" spans="2:8" x14ac:dyDescent="0.25">
      <c r="B210" s="491" t="s">
        <v>7</v>
      </c>
      <c r="C210" s="491"/>
      <c r="D210" s="491"/>
      <c r="E210" s="500" t="s">
        <v>412</v>
      </c>
      <c r="F210" s="141"/>
      <c r="G210" s="170">
        <v>25000</v>
      </c>
    </row>
    <row r="211" spans="2:8" ht="30" x14ac:dyDescent="0.25">
      <c r="B211" s="491" t="s">
        <v>38</v>
      </c>
      <c r="C211" s="491"/>
      <c r="D211" s="491"/>
      <c r="E211" s="500" t="s">
        <v>39</v>
      </c>
      <c r="F211" s="141"/>
      <c r="G211" s="582" t="s">
        <v>539</v>
      </c>
    </row>
    <row r="212" spans="2:8" x14ac:dyDescent="0.25">
      <c r="B212" s="497" t="s">
        <v>435</v>
      </c>
      <c r="C212" s="506"/>
      <c r="D212" s="491"/>
      <c r="E212" s="499" t="s">
        <v>41</v>
      </c>
      <c r="F212" s="143"/>
      <c r="G212" s="172">
        <v>0.04</v>
      </c>
      <c r="H212" s="507" t="s">
        <v>437</v>
      </c>
    </row>
    <row r="213" spans="2:8" x14ac:dyDescent="0.25">
      <c r="C213" s="178" t="s">
        <v>267</v>
      </c>
      <c r="H213" s="128"/>
    </row>
    <row r="214" spans="2:8" x14ac:dyDescent="0.25">
      <c r="B214" s="497" t="s">
        <v>266</v>
      </c>
      <c r="C214" s="502" t="s">
        <v>541</v>
      </c>
      <c r="D214" s="491"/>
      <c r="E214" s="499" t="s">
        <v>43</v>
      </c>
      <c r="F214" s="143"/>
      <c r="G214" s="508" t="str">
        <f>IF(C214="Есть льгота",0.001,"-")</f>
        <v>-</v>
      </c>
      <c r="H214" s="128"/>
    </row>
    <row r="215" spans="2:8" x14ac:dyDescent="0.25">
      <c r="B215" s="520" t="s">
        <v>433</v>
      </c>
      <c r="C215" s="505"/>
      <c r="D215" s="495"/>
      <c r="E215" s="505"/>
      <c r="F215" s="143"/>
      <c r="G215" s="504">
        <v>2</v>
      </c>
      <c r="H215" s="507" t="s">
        <v>438</v>
      </c>
    </row>
    <row r="216" spans="2:8" x14ac:dyDescent="0.25">
      <c r="B216" s="142"/>
      <c r="C216" s="142"/>
      <c r="D216" s="118"/>
      <c r="E216" s="143"/>
      <c r="F216" s="143"/>
      <c r="G216" s="143"/>
      <c r="H216" s="128"/>
    </row>
    <row r="217" spans="2:8" x14ac:dyDescent="0.25">
      <c r="B217" s="173" t="s">
        <v>193</v>
      </c>
      <c r="C217" s="173"/>
      <c r="D217" s="118"/>
    </row>
    <row r="218" spans="2:8" x14ac:dyDescent="0.25">
      <c r="B218" s="489" t="s">
        <v>274</v>
      </c>
      <c r="C218" s="490"/>
      <c r="D218" s="491"/>
      <c r="E218" s="492"/>
      <c r="G218" s="169"/>
      <c r="H218" s="507"/>
    </row>
    <row r="219" spans="2:8" x14ac:dyDescent="0.25">
      <c r="B219" s="495" t="s">
        <v>35</v>
      </c>
      <c r="C219" s="495"/>
      <c r="D219" s="495"/>
      <c r="E219" s="501" t="s">
        <v>36</v>
      </c>
      <c r="F219" s="141"/>
      <c r="G219" s="169"/>
      <c r="H219" s="507"/>
    </row>
    <row r="220" spans="2:8" x14ac:dyDescent="0.25">
      <c r="B220" s="493" t="s">
        <v>220</v>
      </c>
      <c r="C220" s="494"/>
      <c r="D220" s="495"/>
      <c r="E220" s="496" t="s">
        <v>210</v>
      </c>
      <c r="F220" s="129"/>
      <c r="G220" s="169"/>
    </row>
    <row r="221" spans="2:8" x14ac:dyDescent="0.25">
      <c r="B221" s="491" t="s">
        <v>7</v>
      </c>
      <c r="C221" s="491"/>
      <c r="D221" s="491"/>
      <c r="E221" s="500" t="s">
        <v>412</v>
      </c>
      <c r="F221" s="141"/>
      <c r="G221" s="170"/>
    </row>
    <row r="222" spans="2:8" x14ac:dyDescent="0.25">
      <c r="B222" s="491" t="s">
        <v>38</v>
      </c>
      <c r="C222" s="491"/>
      <c r="D222" s="491"/>
      <c r="E222" s="500" t="s">
        <v>39</v>
      </c>
      <c r="F222" s="141"/>
      <c r="G222" s="171"/>
    </row>
    <row r="223" spans="2:8" x14ac:dyDescent="0.25">
      <c r="B223" s="497" t="s">
        <v>434</v>
      </c>
      <c r="C223" s="498"/>
      <c r="D223" s="491"/>
      <c r="E223" s="499" t="s">
        <v>41</v>
      </c>
      <c r="F223" s="143"/>
      <c r="G223" s="172"/>
      <c r="H223" s="507" t="s">
        <v>437</v>
      </c>
    </row>
    <row r="224" spans="2:8" x14ac:dyDescent="0.25">
      <c r="C224" s="178" t="s">
        <v>267</v>
      </c>
      <c r="H224" s="128"/>
    </row>
    <row r="225" spans="2:8" x14ac:dyDescent="0.25">
      <c r="B225" s="497" t="s">
        <v>266</v>
      </c>
      <c r="C225" s="502" t="s">
        <v>421</v>
      </c>
      <c r="D225" s="491"/>
      <c r="E225" s="499" t="s">
        <v>43</v>
      </c>
      <c r="F225" s="143"/>
      <c r="G225" s="373">
        <f>IF(C225="Есть льгота",0.001,"-")</f>
        <v>1E-3</v>
      </c>
      <c r="H225" s="128"/>
    </row>
    <row r="226" spans="2:8" x14ac:dyDescent="0.25">
      <c r="B226" s="520" t="s">
        <v>433</v>
      </c>
      <c r="C226" s="505"/>
      <c r="D226" s="495"/>
      <c r="E226" s="505"/>
      <c r="F226" s="143"/>
      <c r="G226" s="504"/>
      <c r="H226" s="507" t="s">
        <v>438</v>
      </c>
    </row>
    <row r="227" spans="2:8" x14ac:dyDescent="0.25">
      <c r="B227" s="142"/>
      <c r="C227" s="142"/>
      <c r="D227" s="118"/>
      <c r="E227" s="143"/>
      <c r="F227" s="143"/>
      <c r="G227" s="143"/>
    </row>
    <row r="228" spans="2:8" x14ac:dyDescent="0.25">
      <c r="B228" s="173" t="s">
        <v>194</v>
      </c>
      <c r="C228" s="173"/>
      <c r="D228" s="118"/>
    </row>
    <row r="229" spans="2:8" x14ac:dyDescent="0.25">
      <c r="B229" s="489" t="s">
        <v>274</v>
      </c>
      <c r="C229" s="490"/>
      <c r="D229" s="491"/>
      <c r="E229" s="492"/>
      <c r="G229" s="169"/>
      <c r="H229" s="507"/>
    </row>
    <row r="230" spans="2:8" x14ac:dyDescent="0.25">
      <c r="B230" s="495" t="s">
        <v>35</v>
      </c>
      <c r="C230" s="495"/>
      <c r="D230" s="495"/>
      <c r="E230" s="501" t="s">
        <v>36</v>
      </c>
      <c r="F230" s="141"/>
      <c r="G230" s="169"/>
      <c r="H230" s="507"/>
    </row>
    <row r="231" spans="2:8" x14ac:dyDescent="0.25">
      <c r="B231" s="493" t="s">
        <v>220</v>
      </c>
      <c r="C231" s="494"/>
      <c r="D231" s="495"/>
      <c r="E231" s="496" t="s">
        <v>210</v>
      </c>
      <c r="F231" s="129"/>
      <c r="G231" s="169"/>
    </row>
    <row r="232" spans="2:8" x14ac:dyDescent="0.25">
      <c r="B232" s="491" t="s">
        <v>7</v>
      </c>
      <c r="C232" s="491"/>
      <c r="D232" s="491"/>
      <c r="E232" s="500" t="s">
        <v>412</v>
      </c>
      <c r="F232" s="141"/>
      <c r="G232" s="170"/>
    </row>
    <row r="233" spans="2:8" x14ac:dyDescent="0.25">
      <c r="B233" s="491" t="s">
        <v>38</v>
      </c>
      <c r="C233" s="491"/>
      <c r="D233" s="491"/>
      <c r="E233" s="500" t="s">
        <v>39</v>
      </c>
      <c r="F233" s="141"/>
      <c r="G233" s="171"/>
    </row>
    <row r="234" spans="2:8" x14ac:dyDescent="0.25">
      <c r="B234" s="497" t="s">
        <v>434</v>
      </c>
      <c r="C234" s="498"/>
      <c r="D234" s="491"/>
      <c r="E234" s="499" t="s">
        <v>41</v>
      </c>
      <c r="F234" s="143"/>
      <c r="G234" s="172"/>
      <c r="H234" s="507" t="s">
        <v>437</v>
      </c>
    </row>
    <row r="235" spans="2:8" x14ac:dyDescent="0.25">
      <c r="C235" s="178" t="s">
        <v>267</v>
      </c>
      <c r="H235" s="128"/>
    </row>
    <row r="236" spans="2:8" x14ac:dyDescent="0.25">
      <c r="B236" s="497" t="s">
        <v>266</v>
      </c>
      <c r="C236" s="502" t="s">
        <v>421</v>
      </c>
      <c r="D236" s="491"/>
      <c r="E236" s="499" t="s">
        <v>43</v>
      </c>
      <c r="F236" s="143"/>
      <c r="G236" s="373">
        <f>IF(C236="Есть льгота",0.001,"-")</f>
        <v>1E-3</v>
      </c>
      <c r="H236" s="128"/>
    </row>
    <row r="237" spans="2:8" x14ac:dyDescent="0.25">
      <c r="B237" s="503" t="s">
        <v>433</v>
      </c>
      <c r="C237" s="505"/>
      <c r="D237" s="495"/>
      <c r="E237" s="505"/>
      <c r="F237" s="143"/>
      <c r="G237" s="504"/>
      <c r="H237" s="507" t="s">
        <v>438</v>
      </c>
    </row>
    <row r="238" spans="2:8" x14ac:dyDescent="0.25">
      <c r="B238" s="142"/>
      <c r="C238" s="142"/>
      <c r="D238" s="142"/>
      <c r="E238" s="143"/>
      <c r="F238" s="143"/>
      <c r="G238" s="143"/>
    </row>
    <row r="239" spans="2:8" ht="32.25" customHeight="1" x14ac:dyDescent="0.25">
      <c r="B239" s="661" t="s">
        <v>451</v>
      </c>
      <c r="C239" s="661"/>
      <c r="D239" s="661"/>
      <c r="E239" s="661"/>
      <c r="F239" s="661"/>
      <c r="G239" s="661"/>
    </row>
    <row r="240" spans="2:8" ht="30.75" customHeight="1" x14ac:dyDescent="0.25">
      <c r="B240" s="659" t="s">
        <v>439</v>
      </c>
      <c r="C240" s="659"/>
      <c r="D240" s="659"/>
      <c r="E240" s="659"/>
      <c r="F240" s="659"/>
      <c r="G240" s="659"/>
    </row>
    <row r="241" spans="1:20" ht="49.5" customHeight="1" x14ac:dyDescent="0.25">
      <c r="B241" s="660" t="s">
        <v>440</v>
      </c>
      <c r="C241" s="660"/>
      <c r="D241" s="660"/>
      <c r="E241" s="660"/>
      <c r="F241" s="660"/>
      <c r="G241" s="660"/>
    </row>
    <row r="242" spans="1:20" ht="32.25" customHeight="1" x14ac:dyDescent="0.25">
      <c r="B242" s="659" t="s">
        <v>441</v>
      </c>
      <c r="C242" s="659"/>
      <c r="D242" s="659"/>
      <c r="E242" s="659"/>
      <c r="F242" s="659"/>
      <c r="G242" s="659"/>
    </row>
    <row r="243" spans="1:20" x14ac:dyDescent="0.25">
      <c r="B243" s="115" t="s">
        <v>436</v>
      </c>
      <c r="C243" s="142"/>
      <c r="D243" s="142"/>
      <c r="E243" s="143"/>
      <c r="F243" s="143"/>
      <c r="G243" s="143"/>
    </row>
    <row r="244" spans="1:20" x14ac:dyDescent="0.25">
      <c r="B244" s="142" t="s">
        <v>431</v>
      </c>
      <c r="C244" s="142"/>
      <c r="D244" s="142"/>
      <c r="E244" s="143"/>
      <c r="F244" s="143"/>
      <c r="G244" s="143"/>
    </row>
    <row r="245" spans="1:20" x14ac:dyDescent="0.25">
      <c r="B245" s="142" t="s">
        <v>432</v>
      </c>
      <c r="C245" s="142"/>
      <c r="D245" s="142"/>
      <c r="E245" s="143"/>
      <c r="F245" s="143"/>
      <c r="G245" s="143"/>
    </row>
    <row r="246" spans="1:20" x14ac:dyDescent="0.25">
      <c r="A246" s="518">
        <v>1</v>
      </c>
      <c r="B246" s="478" t="s">
        <v>445</v>
      </c>
      <c r="C246" s="480">
        <v>1</v>
      </c>
      <c r="D246" s="479"/>
      <c r="E246" s="143"/>
      <c r="F246" s="143"/>
      <c r="G246" s="143"/>
    </row>
    <row r="247" spans="1:20" x14ac:dyDescent="0.25">
      <c r="A247" s="518">
        <v>2</v>
      </c>
      <c r="B247" s="484" t="s">
        <v>429</v>
      </c>
      <c r="C247" s="481">
        <v>2</v>
      </c>
      <c r="D247" s="479"/>
      <c r="E247" s="143"/>
      <c r="F247" s="143"/>
      <c r="G247" s="143"/>
    </row>
    <row r="248" spans="1:20" ht="45" x14ac:dyDescent="0.25">
      <c r="A248" s="518">
        <v>3</v>
      </c>
      <c r="B248" s="483" t="s">
        <v>446</v>
      </c>
      <c r="C248" s="481">
        <v>3</v>
      </c>
      <c r="D248" s="479"/>
      <c r="E248" s="143"/>
      <c r="F248" s="143"/>
      <c r="G248" s="143"/>
    </row>
    <row r="249" spans="1:20" x14ac:dyDescent="0.25">
      <c r="A249" s="519">
        <v>4</v>
      </c>
      <c r="B249" s="478" t="s">
        <v>447</v>
      </c>
      <c r="C249" s="482">
        <v>4</v>
      </c>
      <c r="D249" s="479"/>
      <c r="E249" s="143"/>
      <c r="F249" s="143"/>
      <c r="G249" s="143"/>
    </row>
    <row r="250" spans="1:20" x14ac:dyDescent="0.25">
      <c r="A250" s="519">
        <v>5</v>
      </c>
      <c r="B250" s="485" t="s">
        <v>448</v>
      </c>
      <c r="C250" s="487">
        <v>5</v>
      </c>
      <c r="D250" s="142"/>
      <c r="E250" s="143"/>
      <c r="F250" s="143"/>
      <c r="G250" s="143"/>
    </row>
    <row r="251" spans="1:20" x14ac:dyDescent="0.25">
      <c r="A251" s="519">
        <v>6</v>
      </c>
      <c r="B251" s="486" t="s">
        <v>449</v>
      </c>
      <c r="C251" s="481">
        <v>6</v>
      </c>
      <c r="D251" s="479"/>
      <c r="E251" s="143"/>
      <c r="F251" s="143"/>
      <c r="G251" s="143"/>
    </row>
    <row r="252" spans="1:20" x14ac:dyDescent="0.25">
      <c r="A252" s="519">
        <v>7</v>
      </c>
      <c r="B252" s="486" t="s">
        <v>450</v>
      </c>
      <c r="C252" s="482">
        <v>7</v>
      </c>
      <c r="D252" s="142"/>
      <c r="E252" s="143"/>
      <c r="F252" s="143"/>
      <c r="G252" s="143"/>
    </row>
    <row r="253" spans="1:20" x14ac:dyDescent="0.25">
      <c r="B253" s="142"/>
      <c r="C253" s="488"/>
      <c r="D253" s="142"/>
      <c r="E253" s="143"/>
      <c r="F253" s="143"/>
      <c r="G253" s="143"/>
    </row>
    <row r="254" spans="1:20" x14ac:dyDescent="0.25">
      <c r="B254" s="164" t="s">
        <v>244</v>
      </c>
      <c r="C254" s="142"/>
      <c r="D254" s="142"/>
      <c r="E254" s="143"/>
      <c r="F254" s="143"/>
      <c r="G254" s="143"/>
    </row>
    <row r="255" spans="1:20" s="453" customFormat="1" ht="33" customHeight="1" x14ac:dyDescent="0.25">
      <c r="A255" s="180"/>
      <c r="B255" s="295" t="s">
        <v>35</v>
      </c>
      <c r="C255" s="142"/>
      <c r="D255" s="142"/>
      <c r="E255" s="143"/>
      <c r="F255" s="143"/>
      <c r="G255" s="248" t="s">
        <v>320</v>
      </c>
      <c r="H255" s="248" t="s">
        <v>418</v>
      </c>
      <c r="I255" s="451"/>
      <c r="J255" s="451"/>
      <c r="K255" s="451"/>
      <c r="L255" s="451"/>
      <c r="M255" s="451"/>
      <c r="N255" s="451"/>
      <c r="O255" s="451"/>
      <c r="P255" s="451"/>
      <c r="Q255" s="451"/>
      <c r="R255" s="451"/>
      <c r="S255" s="452"/>
      <c r="T255" s="452"/>
    </row>
    <row r="256" spans="1:20" x14ac:dyDescent="0.25">
      <c r="A256" s="180" t="s">
        <v>151</v>
      </c>
      <c r="B256" s="658"/>
      <c r="C256" s="658"/>
      <c r="D256" s="142"/>
      <c r="E256" s="141" t="s">
        <v>39</v>
      </c>
      <c r="F256" s="141"/>
      <c r="G256" s="171"/>
      <c r="H256" s="454"/>
    </row>
    <row r="257" spans="1:16" x14ac:dyDescent="0.25">
      <c r="A257" s="180" t="s">
        <v>152</v>
      </c>
      <c r="B257" s="658"/>
      <c r="C257" s="658"/>
      <c r="D257" s="142"/>
      <c r="E257" s="141" t="s">
        <v>39</v>
      </c>
      <c r="F257" s="141"/>
      <c r="G257" s="171"/>
      <c r="H257" s="454"/>
    </row>
    <row r="258" spans="1:16" x14ac:dyDescent="0.25">
      <c r="A258" s="180" t="s">
        <v>153</v>
      </c>
      <c r="B258" s="658"/>
      <c r="C258" s="658"/>
      <c r="D258" s="142"/>
      <c r="E258" s="141" t="s">
        <v>39</v>
      </c>
      <c r="F258" s="141"/>
      <c r="G258" s="171"/>
      <c r="H258" s="454"/>
    </row>
    <row r="259" spans="1:16" x14ac:dyDescent="0.25">
      <c r="A259" s="180" t="s">
        <v>154</v>
      </c>
      <c r="B259" s="658"/>
      <c r="C259" s="658"/>
      <c r="D259" s="142"/>
      <c r="E259" s="141" t="s">
        <v>39</v>
      </c>
      <c r="F259" s="141"/>
      <c r="G259" s="171"/>
      <c r="H259" s="454"/>
    </row>
    <row r="260" spans="1:16" x14ac:dyDescent="0.25">
      <c r="A260" s="180" t="s">
        <v>155</v>
      </c>
      <c r="B260" s="658"/>
      <c r="C260" s="658"/>
      <c r="D260" s="142"/>
      <c r="E260" s="141" t="s">
        <v>39</v>
      </c>
      <c r="F260" s="141"/>
      <c r="G260" s="171"/>
      <c r="H260" s="454"/>
    </row>
    <row r="261" spans="1:16" x14ac:dyDescent="0.25">
      <c r="B261" s="142"/>
      <c r="C261" s="142"/>
      <c r="D261" s="142"/>
      <c r="E261" s="143"/>
      <c r="F261" s="143"/>
      <c r="G261" s="143"/>
    </row>
    <row r="262" spans="1:16" x14ac:dyDescent="0.25"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</row>
    <row r="263" spans="1:16" x14ac:dyDescent="0.25">
      <c r="B263" s="164" t="s">
        <v>365</v>
      </c>
      <c r="C263" s="164"/>
      <c r="D263" s="164"/>
      <c r="E263" s="207"/>
      <c r="F263" s="207"/>
      <c r="G263" s="161">
        <f t="shared" ref="G263:P263" si="17">G144</f>
        <v>2022</v>
      </c>
      <c r="H263" s="161">
        <f t="shared" si="17"/>
        <v>2023</v>
      </c>
      <c r="I263" s="161">
        <f t="shared" si="17"/>
        <v>2024</v>
      </c>
      <c r="J263" s="161">
        <f t="shared" si="17"/>
        <v>2025</v>
      </c>
      <c r="K263" s="161">
        <f t="shared" si="17"/>
        <v>2026</v>
      </c>
      <c r="L263" s="161">
        <f t="shared" si="17"/>
        <v>2027</v>
      </c>
      <c r="M263" s="161">
        <f t="shared" si="17"/>
        <v>2028</v>
      </c>
      <c r="N263" s="161">
        <f t="shared" si="17"/>
        <v>2029</v>
      </c>
      <c r="O263" s="161">
        <f t="shared" si="17"/>
        <v>2030</v>
      </c>
      <c r="P263" s="161">
        <f t="shared" si="17"/>
        <v>2031</v>
      </c>
    </row>
    <row r="264" spans="1:16" x14ac:dyDescent="0.25">
      <c r="B264" s="130" t="s">
        <v>190</v>
      </c>
      <c r="C264" s="156" t="s">
        <v>324</v>
      </c>
      <c r="D264" s="156"/>
      <c r="E264" s="161" t="s">
        <v>161</v>
      </c>
      <c r="F264" s="161"/>
      <c r="G264" s="666" t="s">
        <v>212</v>
      </c>
      <c r="H264" s="666"/>
      <c r="I264" s="666"/>
      <c r="J264" s="666"/>
      <c r="K264" s="666"/>
      <c r="L264" s="666"/>
      <c r="M264" s="666"/>
      <c r="N264" s="666"/>
      <c r="O264" s="666"/>
      <c r="P264" s="666"/>
    </row>
    <row r="265" spans="1:16" x14ac:dyDescent="0.25">
      <c r="A265" s="180" t="s">
        <v>151</v>
      </c>
      <c r="B265" s="293" t="s">
        <v>525</v>
      </c>
      <c r="C265" s="167" t="s">
        <v>221</v>
      </c>
      <c r="D265" s="156"/>
      <c r="E265" s="138" t="s">
        <v>189</v>
      </c>
      <c r="G265" s="167">
        <v>0</v>
      </c>
      <c r="H265" s="167">
        <v>100</v>
      </c>
      <c r="I265" s="167">
        <v>110</v>
      </c>
      <c r="J265" s="167">
        <v>120</v>
      </c>
      <c r="K265" s="167">
        <v>130</v>
      </c>
      <c r="L265" s="167">
        <v>150</v>
      </c>
      <c r="M265" s="167">
        <v>170</v>
      </c>
      <c r="N265" s="167">
        <v>190</v>
      </c>
      <c r="O265" s="167">
        <v>220</v>
      </c>
      <c r="P265" s="167">
        <v>250</v>
      </c>
    </row>
    <row r="266" spans="1:16" x14ac:dyDescent="0.25">
      <c r="A266" s="180" t="s">
        <v>152</v>
      </c>
      <c r="B266" s="293" t="s">
        <v>526</v>
      </c>
      <c r="C266" s="298" t="s">
        <v>221</v>
      </c>
      <c r="D266" s="156"/>
      <c r="E266" s="138" t="s">
        <v>189</v>
      </c>
      <c r="G266" s="167">
        <v>10</v>
      </c>
      <c r="H266" s="167">
        <v>500</v>
      </c>
      <c r="I266" s="167">
        <v>50</v>
      </c>
      <c r="J266" s="167">
        <v>50</v>
      </c>
      <c r="K266" s="167">
        <v>60</v>
      </c>
      <c r="L266" s="167">
        <v>60</v>
      </c>
      <c r="M266" s="167">
        <v>70</v>
      </c>
      <c r="N266" s="167">
        <v>70</v>
      </c>
      <c r="O266" s="167">
        <v>80</v>
      </c>
      <c r="P266" s="167">
        <v>80</v>
      </c>
    </row>
    <row r="267" spans="1:16" x14ac:dyDescent="0.25">
      <c r="A267" s="180" t="s">
        <v>153</v>
      </c>
      <c r="B267" s="293" t="s">
        <v>527</v>
      </c>
      <c r="C267" s="298" t="s">
        <v>221</v>
      </c>
      <c r="D267" s="156"/>
      <c r="E267" s="138" t="s">
        <v>189</v>
      </c>
      <c r="G267" s="167">
        <v>18</v>
      </c>
      <c r="H267" s="167">
        <v>20</v>
      </c>
      <c r="I267" s="167">
        <v>20</v>
      </c>
      <c r="J267" s="167">
        <v>21</v>
      </c>
      <c r="K267" s="167">
        <v>21</v>
      </c>
      <c r="L267" s="167">
        <v>22</v>
      </c>
      <c r="M267" s="167">
        <v>22</v>
      </c>
      <c r="N267" s="167">
        <v>23</v>
      </c>
      <c r="O267" s="167">
        <v>23</v>
      </c>
      <c r="P267" s="167">
        <v>24</v>
      </c>
    </row>
    <row r="268" spans="1:16" x14ac:dyDescent="0.25">
      <c r="A268" s="180" t="s">
        <v>154</v>
      </c>
      <c r="B268" s="293" t="s">
        <v>528</v>
      </c>
      <c r="C268" s="298" t="s">
        <v>221</v>
      </c>
      <c r="D268" s="156"/>
      <c r="E268" s="138" t="s">
        <v>189</v>
      </c>
      <c r="G268" s="167">
        <v>10</v>
      </c>
      <c r="H268" s="167">
        <v>50</v>
      </c>
      <c r="I268" s="167">
        <v>50</v>
      </c>
      <c r="J268" s="167">
        <v>50</v>
      </c>
      <c r="K268" s="167">
        <v>50</v>
      </c>
      <c r="L268" s="167">
        <v>50</v>
      </c>
      <c r="M268" s="167">
        <v>50</v>
      </c>
      <c r="N268" s="167">
        <v>50</v>
      </c>
      <c r="O268" s="167">
        <v>50</v>
      </c>
      <c r="P268" s="167">
        <v>50</v>
      </c>
    </row>
    <row r="269" spans="1:16" x14ac:dyDescent="0.25">
      <c r="A269" s="181" t="s">
        <v>155</v>
      </c>
      <c r="B269" s="293" t="s">
        <v>529</v>
      </c>
      <c r="C269" s="298" t="s">
        <v>221</v>
      </c>
      <c r="D269" s="156"/>
      <c r="E269" s="138" t="s">
        <v>189</v>
      </c>
      <c r="G269" s="167">
        <v>500</v>
      </c>
      <c r="H269" s="167">
        <v>500</v>
      </c>
      <c r="I269" s="167">
        <v>500</v>
      </c>
      <c r="J269" s="167">
        <v>600</v>
      </c>
      <c r="K269" s="167">
        <v>600</v>
      </c>
      <c r="L269" s="167">
        <v>600</v>
      </c>
      <c r="M269" s="167">
        <v>700</v>
      </c>
      <c r="N269" s="167">
        <v>700</v>
      </c>
      <c r="O269" s="167">
        <v>700</v>
      </c>
      <c r="P269" s="167">
        <v>800</v>
      </c>
    </row>
    <row r="270" spans="1:16" x14ac:dyDescent="0.25">
      <c r="A270" s="181" t="s">
        <v>156</v>
      </c>
      <c r="B270" s="293"/>
      <c r="C270" s="298"/>
      <c r="D270" s="156"/>
      <c r="E270" s="138" t="s">
        <v>189</v>
      </c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</row>
    <row r="271" spans="1:16" x14ac:dyDescent="0.25">
      <c r="A271" s="181" t="s">
        <v>157</v>
      </c>
      <c r="B271" s="293"/>
      <c r="C271" s="298"/>
      <c r="D271" s="156"/>
      <c r="E271" s="138" t="s">
        <v>189</v>
      </c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</row>
    <row r="272" spans="1:16" x14ac:dyDescent="0.25">
      <c r="A272" s="181" t="s">
        <v>158</v>
      </c>
      <c r="B272" s="293"/>
      <c r="C272" s="298"/>
      <c r="D272" s="156"/>
      <c r="E272" s="138" t="s">
        <v>189</v>
      </c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</row>
    <row r="273" spans="1:16" x14ac:dyDescent="0.25">
      <c r="A273" s="181" t="s">
        <v>159</v>
      </c>
      <c r="B273" s="293"/>
      <c r="C273" s="298"/>
      <c r="D273" s="156"/>
      <c r="E273" s="138" t="s">
        <v>189</v>
      </c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</row>
    <row r="274" spans="1:16" x14ac:dyDescent="0.25">
      <c r="A274" s="181" t="s">
        <v>160</v>
      </c>
      <c r="B274" s="293"/>
      <c r="C274" s="298"/>
      <c r="D274" s="156"/>
      <c r="E274" s="138" t="s">
        <v>189</v>
      </c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</row>
    <row r="275" spans="1:16" x14ac:dyDescent="0.25">
      <c r="A275" s="181"/>
      <c r="B275" s="333" t="s">
        <v>392</v>
      </c>
      <c r="C275" s="157"/>
      <c r="D275" s="156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</row>
    <row r="276" spans="1:16" x14ac:dyDescent="0.25">
      <c r="G276" s="157"/>
    </row>
    <row r="277" spans="1:16" x14ac:dyDescent="0.25">
      <c r="B277" s="146" t="s">
        <v>317</v>
      </c>
      <c r="C277" s="146"/>
      <c r="D277" s="146"/>
      <c r="E277" s="205"/>
      <c r="F277" s="205"/>
      <c r="G277" s="150"/>
      <c r="H277" s="121"/>
      <c r="I277" s="121"/>
      <c r="J277" s="121"/>
      <c r="K277" s="121"/>
      <c r="L277" s="121"/>
      <c r="M277" s="121"/>
      <c r="N277" s="121"/>
      <c r="O277" s="121"/>
      <c r="P277" s="121"/>
    </row>
    <row r="278" spans="1:16" x14ac:dyDescent="0.25">
      <c r="B278" s="225"/>
      <c r="C278" s="225"/>
      <c r="D278" s="225"/>
      <c r="E278" s="289"/>
      <c r="F278" s="289"/>
      <c r="G278" s="290"/>
      <c r="H278" s="125"/>
      <c r="I278" s="125"/>
      <c r="J278" s="125"/>
      <c r="K278" s="125"/>
      <c r="L278" s="125"/>
      <c r="M278" s="125"/>
      <c r="N278" s="125"/>
      <c r="O278" s="125"/>
      <c r="P278" s="125"/>
    </row>
    <row r="279" spans="1:16" x14ac:dyDescent="0.25">
      <c r="B279" s="160" t="s">
        <v>315</v>
      </c>
      <c r="G279" s="157"/>
    </row>
    <row r="280" spans="1:16" x14ac:dyDescent="0.25">
      <c r="B280" s="285" t="s">
        <v>301</v>
      </c>
      <c r="E280" s="138" t="s">
        <v>319</v>
      </c>
      <c r="G280" s="167">
        <v>90</v>
      </c>
    </row>
    <row r="281" spans="1:16" x14ac:dyDescent="0.25">
      <c r="B281" s="117" t="s">
        <v>302</v>
      </c>
      <c r="E281" s="138" t="s">
        <v>319</v>
      </c>
      <c r="G281" s="167">
        <v>10</v>
      </c>
    </row>
    <row r="282" spans="1:16" x14ac:dyDescent="0.25">
      <c r="G282" s="157"/>
    </row>
    <row r="283" spans="1:16" x14ac:dyDescent="0.25">
      <c r="B283" s="160" t="s">
        <v>316</v>
      </c>
      <c r="G283" s="161" t="s">
        <v>360</v>
      </c>
      <c r="H283" s="161" t="s">
        <v>258</v>
      </c>
    </row>
    <row r="284" spans="1:16" x14ac:dyDescent="0.25">
      <c r="B284" s="285" t="s">
        <v>259</v>
      </c>
      <c r="G284" s="287">
        <v>0.5</v>
      </c>
      <c r="H284" s="167">
        <v>1</v>
      </c>
    </row>
    <row r="285" spans="1:16" x14ac:dyDescent="0.25">
      <c r="B285" s="285" t="s">
        <v>260</v>
      </c>
      <c r="G285" s="287">
        <v>0.1</v>
      </c>
      <c r="H285" s="167">
        <v>30</v>
      </c>
    </row>
    <row r="286" spans="1:16" x14ac:dyDescent="0.25">
      <c r="B286" s="117" t="s">
        <v>366</v>
      </c>
      <c r="G286" s="287">
        <v>0.4</v>
      </c>
      <c r="H286" s="167">
        <v>10</v>
      </c>
    </row>
    <row r="287" spans="1:16" x14ac:dyDescent="0.25">
      <c r="G287" s="117"/>
      <c r="H287" s="138"/>
    </row>
    <row r="288" spans="1:16" x14ac:dyDescent="0.25">
      <c r="B288" s="160" t="s">
        <v>318</v>
      </c>
      <c r="G288" s="161" t="s">
        <v>360</v>
      </c>
      <c r="H288" s="161" t="s">
        <v>258</v>
      </c>
    </row>
    <row r="289" spans="1:17" x14ac:dyDescent="0.25">
      <c r="B289" s="117" t="s">
        <v>259</v>
      </c>
      <c r="G289" s="287">
        <v>0.5</v>
      </c>
      <c r="H289" s="167">
        <v>1</v>
      </c>
    </row>
    <row r="290" spans="1:17" x14ac:dyDescent="0.25">
      <c r="B290" s="117" t="s">
        <v>261</v>
      </c>
      <c r="G290" s="287">
        <v>0.5</v>
      </c>
      <c r="H290" s="167">
        <v>90</v>
      </c>
    </row>
    <row r="291" spans="1:17" x14ac:dyDescent="0.25">
      <c r="B291" s="117" t="s">
        <v>367</v>
      </c>
      <c r="G291" s="287"/>
      <c r="H291" s="167"/>
    </row>
    <row r="292" spans="1:17" x14ac:dyDescent="0.25">
      <c r="G292" s="157"/>
    </row>
    <row r="293" spans="1:17" x14ac:dyDescent="0.25">
      <c r="B293" s="146" t="s">
        <v>44</v>
      </c>
      <c r="C293" s="146"/>
      <c r="D293" s="146"/>
      <c r="E293" s="205"/>
      <c r="F293" s="205"/>
      <c r="G293" s="150"/>
      <c r="H293" s="121"/>
      <c r="I293" s="121"/>
      <c r="J293" s="121"/>
      <c r="K293" s="121"/>
      <c r="L293" s="121"/>
      <c r="M293" s="121"/>
      <c r="N293" s="121"/>
      <c r="O293" s="121"/>
      <c r="P293" s="121"/>
      <c r="Q293" s="135"/>
    </row>
    <row r="294" spans="1:17" x14ac:dyDescent="0.25">
      <c r="A294" s="185"/>
      <c r="B294" s="135"/>
      <c r="C294" s="135"/>
      <c r="D294" s="135"/>
      <c r="E294" s="208"/>
      <c r="F294" s="208"/>
      <c r="G294" s="136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</row>
    <row r="295" spans="1:17" x14ac:dyDescent="0.25">
      <c r="A295" s="185"/>
      <c r="B295" s="164" t="s">
        <v>342</v>
      </c>
      <c r="C295" s="135"/>
      <c r="D295" s="135"/>
      <c r="E295" s="208"/>
      <c r="F295" s="208"/>
      <c r="G295" s="136"/>
      <c r="H295" s="135"/>
      <c r="I295" s="125" t="s">
        <v>336</v>
      </c>
      <c r="J295" s="135"/>
      <c r="K295" s="135"/>
      <c r="L295" s="135"/>
      <c r="M295" s="135"/>
      <c r="N295" s="135"/>
      <c r="O295" s="135"/>
      <c r="P295" s="135"/>
      <c r="Q295" s="135"/>
    </row>
    <row r="296" spans="1:17" x14ac:dyDescent="0.25">
      <c r="A296" s="185"/>
      <c r="B296" s="312" t="s">
        <v>349</v>
      </c>
      <c r="E296" s="313" t="s">
        <v>210</v>
      </c>
      <c r="F296" s="313"/>
      <c r="G296" s="314">
        <v>2022</v>
      </c>
      <c r="H296" s="129" t="s">
        <v>453</v>
      </c>
      <c r="I296" s="131" t="e" cm="1">
        <f t="array" aca="1" ref="I296" ca="1">IF(G296="","Не заполнено",IF(_xlfn.IFS(G299&lt;&gt;0,G300,H299&lt;&gt;0,H300,I299&lt;&gt;0,I300,J299&lt;&gt;0,J300,K299&lt;&gt;0,K300,L299&lt;&gt;0,L300,M299&lt;&gt;0,M300,N299&lt;&gt;0,N300,O299&lt;&gt;0,O300,P299&lt;&gt;0,P300)=G296,"Соответствует началу инвестиционных расходов","Не соответствует началу инвестиционных расходов"))</f>
        <v>#NAME?</v>
      </c>
      <c r="J296" s="135"/>
      <c r="K296" s="135"/>
      <c r="L296" s="135"/>
      <c r="M296" s="135"/>
      <c r="N296" s="135"/>
      <c r="O296" s="135"/>
      <c r="P296" s="135"/>
      <c r="Q296" s="135"/>
    </row>
    <row r="297" spans="1:17" x14ac:dyDescent="0.25">
      <c r="A297" s="185"/>
      <c r="B297" s="312" t="s">
        <v>350</v>
      </c>
      <c r="E297" s="313" t="s">
        <v>210</v>
      </c>
      <c r="F297" s="313"/>
      <c r="G297" s="314">
        <v>2024</v>
      </c>
      <c r="H297" s="129" t="s">
        <v>453</v>
      </c>
      <c r="I297" s="131" t="e" cm="1">
        <f t="array" aca="1" ref="I297" ca="1">IF(G297="","Не заполнено",IF(_xlfn.IFS(O299&lt;&gt;0,O300,N299&lt;&gt;0,N300,M299&lt;&gt;0,M300,L299&lt;&gt;0,L300,K299&lt;&gt;0,K300,J299&lt;&gt;0,J300,I299&lt;&gt;0,I300,H299&lt;&gt;0,H300,G299&lt;&gt;0,G300,P299&lt;&gt;0,P300)=G297,"Соответствует окончанию инвестиционных расходов","Не соответствует окончанию инвестиционных расходов"))</f>
        <v>#NAME?</v>
      </c>
      <c r="J297" s="477"/>
      <c r="K297" s="135"/>
      <c r="L297" s="135"/>
      <c r="M297" s="135"/>
      <c r="N297" s="135"/>
      <c r="O297" s="135"/>
      <c r="P297" s="135"/>
      <c r="Q297" s="135"/>
    </row>
    <row r="298" spans="1:17" x14ac:dyDescent="0.25">
      <c r="A298" s="185"/>
      <c r="B298" s="135"/>
      <c r="C298" s="135"/>
      <c r="D298" s="135"/>
      <c r="E298" s="208"/>
      <c r="F298" s="208"/>
      <c r="G298" s="136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</row>
    <row r="299" spans="1:17" x14ac:dyDescent="0.25">
      <c r="B299" s="164" t="s">
        <v>197</v>
      </c>
      <c r="G299" s="533">
        <f>SUM(G301:G318)</f>
        <v>61000</v>
      </c>
      <c r="H299" s="533">
        <f t="shared" ref="H299:P299" si="18">SUM(H301:H318)</f>
        <v>110000</v>
      </c>
      <c r="I299" s="533">
        <f t="shared" si="18"/>
        <v>2000</v>
      </c>
      <c r="J299" s="533">
        <f t="shared" si="18"/>
        <v>0</v>
      </c>
      <c r="K299" s="533">
        <f t="shared" si="18"/>
        <v>0</v>
      </c>
      <c r="L299" s="533">
        <f t="shared" si="18"/>
        <v>0</v>
      </c>
      <c r="M299" s="533">
        <f t="shared" si="18"/>
        <v>0</v>
      </c>
      <c r="N299" s="533">
        <f t="shared" si="18"/>
        <v>0</v>
      </c>
      <c r="O299" s="533">
        <f t="shared" si="18"/>
        <v>0</v>
      </c>
      <c r="P299" s="533">
        <f t="shared" si="18"/>
        <v>0</v>
      </c>
    </row>
    <row r="300" spans="1:17" x14ac:dyDescent="0.25">
      <c r="B300" s="130" t="s">
        <v>195</v>
      </c>
      <c r="C300" s="156" t="s">
        <v>325</v>
      </c>
      <c r="D300" s="156"/>
      <c r="E300" s="161" t="s">
        <v>161</v>
      </c>
      <c r="F300" s="161"/>
      <c r="G300" s="132">
        <f t="shared" ref="G300:P300" si="19">G263</f>
        <v>2022</v>
      </c>
      <c r="H300" s="132">
        <f t="shared" si="19"/>
        <v>2023</v>
      </c>
      <c r="I300" s="132">
        <f t="shared" si="19"/>
        <v>2024</v>
      </c>
      <c r="J300" s="132">
        <f t="shared" si="19"/>
        <v>2025</v>
      </c>
      <c r="K300" s="132">
        <f t="shared" si="19"/>
        <v>2026</v>
      </c>
      <c r="L300" s="132">
        <f t="shared" si="19"/>
        <v>2027</v>
      </c>
      <c r="M300" s="132">
        <f t="shared" si="19"/>
        <v>2028</v>
      </c>
      <c r="N300" s="132">
        <f t="shared" si="19"/>
        <v>2029</v>
      </c>
      <c r="O300" s="132">
        <f t="shared" si="19"/>
        <v>2030</v>
      </c>
      <c r="P300" s="132">
        <f t="shared" si="19"/>
        <v>2031</v>
      </c>
      <c r="Q300" s="161" t="s">
        <v>6</v>
      </c>
    </row>
    <row r="301" spans="1:17" x14ac:dyDescent="0.25">
      <c r="A301" s="180" t="s">
        <v>151</v>
      </c>
      <c r="B301" s="580" t="s">
        <v>530</v>
      </c>
      <c r="C301" s="167" t="s">
        <v>221</v>
      </c>
      <c r="D301" s="156"/>
      <c r="E301" s="138" t="s">
        <v>39</v>
      </c>
      <c r="G301" s="154">
        <v>50000</v>
      </c>
      <c r="H301" s="154">
        <v>30000</v>
      </c>
      <c r="I301" s="154">
        <v>0</v>
      </c>
      <c r="J301" s="154"/>
      <c r="K301" s="154"/>
      <c r="L301" s="154"/>
      <c r="M301" s="154"/>
      <c r="N301" s="154"/>
      <c r="O301" s="154"/>
      <c r="P301" s="154"/>
      <c r="Q301" s="309">
        <f t="shared" ref="Q301:Q321" si="20">SUM(G301:P301)</f>
        <v>80000</v>
      </c>
    </row>
    <row r="302" spans="1:17" x14ac:dyDescent="0.25">
      <c r="A302" s="180" t="s">
        <v>152</v>
      </c>
      <c r="B302" s="293" t="s">
        <v>531</v>
      </c>
      <c r="C302" s="298" t="s">
        <v>221</v>
      </c>
      <c r="D302" s="156"/>
      <c r="E302" s="138" t="s">
        <v>39</v>
      </c>
      <c r="G302" s="154">
        <v>3000</v>
      </c>
      <c r="H302" s="154">
        <v>2000</v>
      </c>
      <c r="I302" s="154">
        <v>0</v>
      </c>
      <c r="J302" s="154"/>
      <c r="K302" s="154"/>
      <c r="L302" s="154"/>
      <c r="M302" s="154"/>
      <c r="N302" s="154"/>
      <c r="O302" s="154"/>
      <c r="P302" s="154"/>
      <c r="Q302" s="309">
        <f t="shared" si="20"/>
        <v>5000</v>
      </c>
    </row>
    <row r="303" spans="1:17" x14ac:dyDescent="0.25">
      <c r="A303" s="180" t="s">
        <v>153</v>
      </c>
      <c r="B303" s="476" t="s">
        <v>532</v>
      </c>
      <c r="C303" s="298" t="s">
        <v>221</v>
      </c>
      <c r="D303" s="156"/>
      <c r="E303" s="138" t="s">
        <v>39</v>
      </c>
      <c r="G303" s="154">
        <v>0</v>
      </c>
      <c r="H303" s="154">
        <v>30000</v>
      </c>
      <c r="I303" s="154">
        <v>2000</v>
      </c>
      <c r="J303" s="154"/>
      <c r="K303" s="154"/>
      <c r="L303" s="154"/>
      <c r="M303" s="154"/>
      <c r="N303" s="154"/>
      <c r="O303" s="154"/>
      <c r="P303" s="154"/>
      <c r="Q303" s="309">
        <f t="shared" si="20"/>
        <v>32000</v>
      </c>
    </row>
    <row r="304" spans="1:17" x14ac:dyDescent="0.25">
      <c r="A304" s="180" t="s">
        <v>154</v>
      </c>
      <c r="B304" s="293" t="s">
        <v>533</v>
      </c>
      <c r="C304" s="298" t="s">
        <v>221</v>
      </c>
      <c r="D304" s="156"/>
      <c r="E304" s="129" t="s">
        <v>39</v>
      </c>
      <c r="F304" s="129"/>
      <c r="G304" s="154">
        <v>0</v>
      </c>
      <c r="H304" s="154">
        <v>25000</v>
      </c>
      <c r="I304" s="154">
        <v>0</v>
      </c>
      <c r="J304" s="154"/>
      <c r="K304" s="154"/>
      <c r="L304" s="154"/>
      <c r="M304" s="154"/>
      <c r="N304" s="154"/>
      <c r="O304" s="154"/>
      <c r="P304" s="154"/>
      <c r="Q304" s="309">
        <f t="shared" si="20"/>
        <v>25000</v>
      </c>
    </row>
    <row r="305" spans="1:17" x14ac:dyDescent="0.25">
      <c r="A305" s="181" t="s">
        <v>155</v>
      </c>
      <c r="B305" s="476" t="s">
        <v>534</v>
      </c>
      <c r="C305" s="298" t="s">
        <v>221</v>
      </c>
      <c r="D305" s="156"/>
      <c r="E305" s="138" t="s">
        <v>39</v>
      </c>
      <c r="G305" s="154">
        <v>5000</v>
      </c>
      <c r="H305" s="154">
        <v>20000</v>
      </c>
      <c r="I305" s="154">
        <v>0</v>
      </c>
      <c r="J305" s="154"/>
      <c r="K305" s="154"/>
      <c r="L305" s="154"/>
      <c r="M305" s="154"/>
      <c r="N305" s="154"/>
      <c r="O305" s="154"/>
      <c r="P305" s="154"/>
      <c r="Q305" s="309">
        <f t="shared" si="20"/>
        <v>25000</v>
      </c>
    </row>
    <row r="306" spans="1:17" x14ac:dyDescent="0.25">
      <c r="A306" s="181" t="s">
        <v>156</v>
      </c>
      <c r="B306" s="293" t="s">
        <v>535</v>
      </c>
      <c r="C306" s="298" t="s">
        <v>221</v>
      </c>
      <c r="D306" s="156"/>
      <c r="E306" s="138" t="s">
        <v>39</v>
      </c>
      <c r="G306" s="154">
        <v>0</v>
      </c>
      <c r="H306" s="154">
        <v>1000</v>
      </c>
      <c r="I306" s="154">
        <v>0</v>
      </c>
      <c r="J306" s="154"/>
      <c r="K306" s="154"/>
      <c r="L306" s="154"/>
      <c r="M306" s="154"/>
      <c r="N306" s="154"/>
      <c r="O306" s="154"/>
      <c r="P306" s="154"/>
      <c r="Q306" s="309">
        <f t="shared" si="20"/>
        <v>1000</v>
      </c>
    </row>
    <row r="307" spans="1:17" x14ac:dyDescent="0.25">
      <c r="A307" s="181" t="s">
        <v>157</v>
      </c>
      <c r="B307" s="293" t="s">
        <v>536</v>
      </c>
      <c r="C307" s="298" t="s">
        <v>221</v>
      </c>
      <c r="D307" s="156"/>
      <c r="E307" s="138" t="s">
        <v>39</v>
      </c>
      <c r="G307" s="154">
        <v>3000</v>
      </c>
      <c r="H307" s="154">
        <v>2000</v>
      </c>
      <c r="I307" s="154">
        <v>0</v>
      </c>
      <c r="J307" s="154"/>
      <c r="K307" s="154"/>
      <c r="L307" s="154"/>
      <c r="M307" s="154"/>
      <c r="N307" s="154"/>
      <c r="O307" s="154"/>
      <c r="P307" s="154"/>
      <c r="Q307" s="309">
        <f t="shared" si="20"/>
        <v>5000</v>
      </c>
    </row>
    <row r="308" spans="1:17" x14ac:dyDescent="0.25">
      <c r="A308" s="181" t="s">
        <v>158</v>
      </c>
      <c r="B308" s="293"/>
      <c r="C308" s="298"/>
      <c r="D308" s="156"/>
      <c r="E308" s="138" t="s">
        <v>39</v>
      </c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309">
        <f t="shared" si="20"/>
        <v>0</v>
      </c>
    </row>
    <row r="309" spans="1:17" x14ac:dyDescent="0.25">
      <c r="A309" s="181" t="s">
        <v>159</v>
      </c>
      <c r="B309" s="293"/>
      <c r="C309" s="298"/>
      <c r="D309" s="156"/>
      <c r="E309" s="138" t="s">
        <v>39</v>
      </c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309">
        <f t="shared" si="20"/>
        <v>0</v>
      </c>
    </row>
    <row r="310" spans="1:17" x14ac:dyDescent="0.25">
      <c r="A310" s="181" t="s">
        <v>160</v>
      </c>
      <c r="B310" s="293"/>
      <c r="C310" s="298"/>
      <c r="D310" s="156"/>
      <c r="E310" s="138" t="s">
        <v>39</v>
      </c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309">
        <f t="shared" si="20"/>
        <v>0</v>
      </c>
    </row>
    <row r="311" spans="1:17" x14ac:dyDescent="0.25">
      <c r="A311" s="181" t="s">
        <v>168</v>
      </c>
      <c r="B311" s="293"/>
      <c r="C311" s="298"/>
      <c r="D311" s="156"/>
      <c r="E311" s="138" t="s">
        <v>39</v>
      </c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309">
        <f t="shared" si="20"/>
        <v>0</v>
      </c>
    </row>
    <row r="312" spans="1:17" x14ac:dyDescent="0.25">
      <c r="A312" s="181" t="s">
        <v>169</v>
      </c>
      <c r="B312" s="293"/>
      <c r="C312" s="298"/>
      <c r="D312" s="156"/>
      <c r="E312" s="138" t="s">
        <v>39</v>
      </c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309">
        <f t="shared" si="20"/>
        <v>0</v>
      </c>
    </row>
    <row r="313" spans="1:17" x14ac:dyDescent="0.25">
      <c r="A313" s="181" t="s">
        <v>170</v>
      </c>
      <c r="B313" s="293"/>
      <c r="C313" s="298"/>
      <c r="D313" s="156"/>
      <c r="E313" s="138" t="s">
        <v>39</v>
      </c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309">
        <f t="shared" si="20"/>
        <v>0</v>
      </c>
    </row>
    <row r="314" spans="1:17" x14ac:dyDescent="0.25">
      <c r="A314" s="181" t="s">
        <v>171</v>
      </c>
      <c r="B314" s="293"/>
      <c r="C314" s="298"/>
      <c r="D314" s="156"/>
      <c r="E314" s="138" t="s">
        <v>39</v>
      </c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309">
        <f t="shared" si="20"/>
        <v>0</v>
      </c>
    </row>
    <row r="315" spans="1:17" x14ac:dyDescent="0.25">
      <c r="A315" s="181" t="s">
        <v>172</v>
      </c>
      <c r="B315" s="293"/>
      <c r="C315" s="298"/>
      <c r="D315" s="156"/>
      <c r="E315" s="138" t="s">
        <v>39</v>
      </c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309">
        <f t="shared" si="20"/>
        <v>0</v>
      </c>
    </row>
    <row r="316" spans="1:17" x14ac:dyDescent="0.25">
      <c r="A316" s="181" t="s">
        <v>173</v>
      </c>
      <c r="B316" s="293"/>
      <c r="C316" s="298"/>
      <c r="D316" s="156"/>
      <c r="E316" s="138" t="s">
        <v>39</v>
      </c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309">
        <f t="shared" si="20"/>
        <v>0</v>
      </c>
    </row>
    <row r="317" spans="1:17" x14ac:dyDescent="0.25">
      <c r="A317" s="181" t="s">
        <v>174</v>
      </c>
      <c r="B317" s="293"/>
      <c r="C317" s="298"/>
      <c r="D317" s="156"/>
      <c r="E317" s="138" t="s">
        <v>39</v>
      </c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309">
        <f t="shared" si="20"/>
        <v>0</v>
      </c>
    </row>
    <row r="318" spans="1:17" x14ac:dyDescent="0.25">
      <c r="A318" s="181" t="s">
        <v>175</v>
      </c>
      <c r="B318" s="327"/>
      <c r="C318" s="298"/>
      <c r="D318" s="156"/>
      <c r="E318" s="138" t="s">
        <v>39</v>
      </c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309">
        <f t="shared" si="20"/>
        <v>0</v>
      </c>
    </row>
    <row r="319" spans="1:17" x14ac:dyDescent="0.25">
      <c r="A319" s="180" t="s">
        <v>176</v>
      </c>
      <c r="B319" s="330" t="s">
        <v>370</v>
      </c>
      <c r="C319" s="334" t="s">
        <v>368</v>
      </c>
      <c r="D319" s="156"/>
      <c r="E319" s="138" t="s">
        <v>39</v>
      </c>
      <c r="G319" s="309">
        <f>-SUM(Финансирование!F28,Финансирование!F46)</f>
        <v>1500</v>
      </c>
      <c r="H319" s="309">
        <f>-SUM(Финансирование!G28,Финансирование!G46)</f>
        <v>0</v>
      </c>
      <c r="I319" s="309">
        <f>-SUM(Финансирование!H28,Финансирование!H46)</f>
        <v>0</v>
      </c>
      <c r="J319" s="309">
        <f>-SUM(Финансирование!I28,Финансирование!I46)</f>
        <v>0</v>
      </c>
      <c r="K319" s="309">
        <f>-SUM(Финансирование!J28,Финансирование!J46)</f>
        <v>0</v>
      </c>
      <c r="L319" s="309">
        <f>-SUM(Финансирование!K28,Финансирование!K46)</f>
        <v>0</v>
      </c>
      <c r="M319" s="309">
        <f>-SUM(Финансирование!L28,Финансирование!L46)</f>
        <v>0</v>
      </c>
      <c r="N319" s="309">
        <f>-SUM(Финансирование!M28,Финансирование!M46)</f>
        <v>0</v>
      </c>
      <c r="O319" s="309">
        <f>-SUM(Финансирование!N28,Финансирование!N46)</f>
        <v>0</v>
      </c>
      <c r="P319" s="309">
        <f>-SUM(Финансирование!O28,Финансирование!O46)</f>
        <v>0</v>
      </c>
      <c r="Q319" s="309">
        <f t="shared" si="20"/>
        <v>1500</v>
      </c>
    </row>
    <row r="320" spans="1:17" ht="30" x14ac:dyDescent="0.25">
      <c r="A320" s="180" t="s">
        <v>177</v>
      </c>
      <c r="B320" s="459" t="s">
        <v>419</v>
      </c>
      <c r="C320" s="334" t="s">
        <v>221</v>
      </c>
      <c r="D320" s="156"/>
      <c r="E320" s="157" t="s">
        <v>39</v>
      </c>
      <c r="F320" s="216"/>
      <c r="G320" s="583">
        <f>IF(SUM(G41:G50)=0,-SUM(БДР!E8:E13,БДР!D14:D16,-'Оборотный капитал'!G46),0)</f>
        <v>3111.5170684931513</v>
      </c>
      <c r="H320" s="309">
        <f>IF(SUM(H41:H50)=0,-SUM(БДР!F8:F13,БДР!E14:E16,-'Оборотный капитал'!H46),0)</f>
        <v>0</v>
      </c>
      <c r="I320" s="309">
        <f>IF(SUM(I41:I50)=0,-SUM(БДР!G8:G13,БДР!F14:F16,-'Оборотный капитал'!I46),0)</f>
        <v>0</v>
      </c>
      <c r="J320" s="309">
        <f>IF(SUM(J41:J50)=0,-SUM(БДР!H8:H13,БДР!G14:G16,-'Оборотный капитал'!J46),0)</f>
        <v>0</v>
      </c>
      <c r="K320" s="309">
        <f>IF(SUM(K41:K50)=0,-SUM(БДР!I8:I13,БДР!H14:H16,-'Оборотный капитал'!K46),0)</f>
        <v>0</v>
      </c>
      <c r="L320" s="309">
        <f>IF(SUM(L41:L50)=0,-SUM(БДР!J8:J13,БДР!I14:I16,-'Оборотный капитал'!L46),0)</f>
        <v>0</v>
      </c>
      <c r="M320" s="309">
        <f>IF(SUM(M41:M50)=0,-SUM(БДР!K8:K13,БДР!J14:J16,-'Оборотный капитал'!M46),0)</f>
        <v>0</v>
      </c>
      <c r="N320" s="309">
        <f>IF(SUM(N41:N50)=0,-SUM(БДР!L8:L13,БДР!K14:K16,-'Оборотный капитал'!N46),0)</f>
        <v>0</v>
      </c>
      <c r="O320" s="309">
        <f>IF(SUM(O41:O50)=0,-SUM(БДР!M8:M13,БДР!L14:L16,-'Оборотный капитал'!O46),0)</f>
        <v>0</v>
      </c>
      <c r="P320" s="309">
        <f>IF(SUM(P41:P50)=0,-SUM(БДР!N8:N13,БДР!M14:M16,-'Оборотный капитал'!P46),0)</f>
        <v>0</v>
      </c>
      <c r="Q320" s="309">
        <f t="shared" si="20"/>
        <v>3111.5170684931513</v>
      </c>
    </row>
    <row r="321" spans="1:17" x14ac:dyDescent="0.25">
      <c r="B321" s="305" t="s">
        <v>196</v>
      </c>
      <c r="C321" s="305"/>
      <c r="D321" s="156"/>
      <c r="E321" s="306" t="s">
        <v>39</v>
      </c>
      <c r="F321" s="306"/>
      <c r="G321" s="219">
        <f>SUM(G301:G320)</f>
        <v>65611.517068493151</v>
      </c>
      <c r="H321" s="219">
        <f t="shared" ref="H321:P321" si="21">SUM(H301:H320)</f>
        <v>110000</v>
      </c>
      <c r="I321" s="219">
        <f t="shared" si="21"/>
        <v>2000</v>
      </c>
      <c r="J321" s="219">
        <f t="shared" si="21"/>
        <v>0</v>
      </c>
      <c r="K321" s="219">
        <f t="shared" si="21"/>
        <v>0</v>
      </c>
      <c r="L321" s="219">
        <f t="shared" si="21"/>
        <v>0</v>
      </c>
      <c r="M321" s="219">
        <f t="shared" si="21"/>
        <v>0</v>
      </c>
      <c r="N321" s="219">
        <f t="shared" si="21"/>
        <v>0</v>
      </c>
      <c r="O321" s="219">
        <f t="shared" si="21"/>
        <v>0</v>
      </c>
      <c r="P321" s="219">
        <f t="shared" si="21"/>
        <v>0</v>
      </c>
      <c r="Q321" s="219">
        <f t="shared" si="20"/>
        <v>177611.51706849315</v>
      </c>
    </row>
    <row r="323" spans="1:17" x14ac:dyDescent="0.25">
      <c r="B323" s="139" t="s">
        <v>339</v>
      </c>
      <c r="C323" s="167" t="s">
        <v>538</v>
      </c>
      <c r="E323" s="157"/>
      <c r="F323" s="157"/>
      <c r="G323" s="163" t="s">
        <v>409</v>
      </c>
      <c r="H323" s="128"/>
      <c r="I323" s="157"/>
      <c r="J323" s="157"/>
      <c r="K323" s="157"/>
    </row>
    <row r="324" spans="1:17" x14ac:dyDescent="0.25">
      <c r="G324" s="163" t="s">
        <v>224</v>
      </c>
      <c r="I324" s="157"/>
      <c r="J324" s="157"/>
      <c r="K324" s="219">
        <f>Инвестиции!R28</f>
        <v>200838.60551931505</v>
      </c>
      <c r="L324" s="117" t="s">
        <v>39</v>
      </c>
    </row>
    <row r="325" spans="1:17" x14ac:dyDescent="0.25">
      <c r="B325" s="164" t="s">
        <v>219</v>
      </c>
      <c r="H325" s="144"/>
      <c r="I325" s="145"/>
    </row>
    <row r="326" spans="1:17" ht="60" x14ac:dyDescent="0.25">
      <c r="B326" s="532" t="s">
        <v>195</v>
      </c>
      <c r="C326" s="531" t="s">
        <v>459</v>
      </c>
      <c r="D326" s="296"/>
      <c r="E326" s="535" t="s">
        <v>427</v>
      </c>
      <c r="G326" s="531" t="s">
        <v>460</v>
      </c>
      <c r="H326" s="535" t="s">
        <v>464</v>
      </c>
      <c r="I326" s="163" t="s">
        <v>465</v>
      </c>
    </row>
    <row r="327" spans="1:17" x14ac:dyDescent="0.25">
      <c r="A327" s="180" t="s">
        <v>151</v>
      </c>
      <c r="B327" s="434" t="str">
        <f>B301</f>
        <v>Здания и сооружения</v>
      </c>
      <c r="C327" s="294" t="s">
        <v>530</v>
      </c>
      <c r="D327" s="296"/>
      <c r="E327" s="314">
        <v>25</v>
      </c>
      <c r="G327" s="314">
        <v>2023</v>
      </c>
      <c r="H327" s="314">
        <v>1</v>
      </c>
      <c r="J327" s="129"/>
    </row>
    <row r="328" spans="1:17" x14ac:dyDescent="0.25">
      <c r="A328" s="180" t="s">
        <v>152</v>
      </c>
      <c r="B328" s="434" t="str">
        <f t="shared" ref="B328:B344" si="22">B302</f>
        <v>Инженерные сети</v>
      </c>
      <c r="C328" s="294" t="s">
        <v>531</v>
      </c>
      <c r="D328" s="296"/>
      <c r="E328" s="314">
        <v>10</v>
      </c>
      <c r="G328" s="314">
        <v>2023</v>
      </c>
      <c r="H328" s="314">
        <v>1</v>
      </c>
      <c r="J328" s="129"/>
    </row>
    <row r="329" spans="1:17" x14ac:dyDescent="0.25">
      <c r="A329" s="180" t="s">
        <v>153</v>
      </c>
      <c r="B329" s="434" t="str">
        <f t="shared" si="22"/>
        <v>Оборудование</v>
      </c>
      <c r="C329" s="294" t="s">
        <v>532</v>
      </c>
      <c r="D329" s="296"/>
      <c r="E329" s="314">
        <v>10</v>
      </c>
      <c r="G329" s="314">
        <v>2023</v>
      </c>
      <c r="H329" s="314">
        <v>1</v>
      </c>
      <c r="J329" s="129"/>
    </row>
    <row r="330" spans="1:17" x14ac:dyDescent="0.25">
      <c r="A330" s="180" t="s">
        <v>154</v>
      </c>
      <c r="B330" s="434" t="str">
        <f t="shared" si="22"/>
        <v>Транспорт</v>
      </c>
      <c r="C330" s="294" t="s">
        <v>533</v>
      </c>
      <c r="D330" s="296"/>
      <c r="E330" s="314">
        <v>5</v>
      </c>
      <c r="G330" s="314">
        <v>2023</v>
      </c>
      <c r="H330" s="314">
        <v>2</v>
      </c>
      <c r="J330" s="539"/>
    </row>
    <row r="331" spans="1:17" x14ac:dyDescent="0.25">
      <c r="A331" s="180" t="s">
        <v>155</v>
      </c>
      <c r="B331" s="434" t="str">
        <f t="shared" si="22"/>
        <v>Дороги</v>
      </c>
      <c r="C331" s="294" t="s">
        <v>534</v>
      </c>
      <c r="D331" s="296"/>
      <c r="E331" s="314">
        <v>30</v>
      </c>
      <c r="G331" s="314">
        <v>2022</v>
      </c>
      <c r="H331" s="314">
        <v>3</v>
      </c>
      <c r="J331" s="539"/>
    </row>
    <row r="332" spans="1:17" x14ac:dyDescent="0.25">
      <c r="A332" s="180" t="s">
        <v>156</v>
      </c>
      <c r="B332" s="434" t="str">
        <f t="shared" si="22"/>
        <v>HMA</v>
      </c>
      <c r="C332" s="294" t="s">
        <v>537</v>
      </c>
      <c r="D332" s="296"/>
      <c r="E332" s="314">
        <v>5</v>
      </c>
      <c r="G332" s="314">
        <v>2023</v>
      </c>
      <c r="H332" s="314">
        <v>2</v>
      </c>
      <c r="J332" s="539"/>
    </row>
    <row r="333" spans="1:17" x14ac:dyDescent="0.25">
      <c r="A333" s="180" t="s">
        <v>157</v>
      </c>
      <c r="B333" s="434" t="str">
        <f t="shared" si="22"/>
        <v>Подготовительные расходы (ПИР, СМР)</v>
      </c>
      <c r="C333" s="294" t="s">
        <v>369</v>
      </c>
      <c r="D333" s="296"/>
      <c r="E333" s="314">
        <v>0</v>
      </c>
      <c r="G333" s="314">
        <v>0</v>
      </c>
      <c r="H333" s="314">
        <v>2</v>
      </c>
      <c r="J333" s="539"/>
    </row>
    <row r="334" spans="1:17" x14ac:dyDescent="0.25">
      <c r="A334" s="180" t="s">
        <v>158</v>
      </c>
      <c r="B334" s="434">
        <f t="shared" si="22"/>
        <v>0</v>
      </c>
      <c r="C334" s="294"/>
      <c r="D334" s="296"/>
      <c r="E334" s="314"/>
      <c r="G334" s="314"/>
      <c r="H334" s="314"/>
      <c r="J334" s="129"/>
    </row>
    <row r="335" spans="1:17" x14ac:dyDescent="0.25">
      <c r="A335" s="180" t="s">
        <v>159</v>
      </c>
      <c r="B335" s="434">
        <f t="shared" si="22"/>
        <v>0</v>
      </c>
      <c r="C335" s="294"/>
      <c r="D335" s="296"/>
      <c r="E335" s="314"/>
      <c r="G335" s="314"/>
      <c r="H335" s="314"/>
      <c r="J335" s="129"/>
    </row>
    <row r="336" spans="1:17" x14ac:dyDescent="0.25">
      <c r="A336" s="180" t="s">
        <v>160</v>
      </c>
      <c r="B336" s="434">
        <f t="shared" si="22"/>
        <v>0</v>
      </c>
      <c r="C336" s="294"/>
      <c r="D336" s="296"/>
      <c r="E336" s="314"/>
      <c r="G336" s="314"/>
      <c r="H336" s="314"/>
      <c r="J336" s="129"/>
    </row>
    <row r="337" spans="1:18" x14ac:dyDescent="0.25">
      <c r="A337" s="180" t="s">
        <v>168</v>
      </c>
      <c r="B337" s="434">
        <f t="shared" si="22"/>
        <v>0</v>
      </c>
      <c r="C337" s="294"/>
      <c r="D337" s="296"/>
      <c r="E337" s="314"/>
      <c r="G337" s="314"/>
      <c r="H337" s="314"/>
      <c r="J337" s="129"/>
    </row>
    <row r="338" spans="1:18" x14ac:dyDescent="0.25">
      <c r="A338" s="180" t="s">
        <v>169</v>
      </c>
      <c r="B338" s="434">
        <f t="shared" si="22"/>
        <v>0</v>
      </c>
      <c r="C338" s="294"/>
      <c r="D338" s="296"/>
      <c r="E338" s="314"/>
      <c r="G338" s="314"/>
      <c r="H338" s="314"/>
      <c r="J338" s="129"/>
    </row>
    <row r="339" spans="1:18" x14ac:dyDescent="0.25">
      <c r="A339" s="180" t="s">
        <v>170</v>
      </c>
      <c r="B339" s="434">
        <f t="shared" si="22"/>
        <v>0</v>
      </c>
      <c r="C339" s="294"/>
      <c r="D339" s="296"/>
      <c r="E339" s="314"/>
      <c r="G339" s="314"/>
      <c r="H339" s="314"/>
      <c r="J339" s="129"/>
    </row>
    <row r="340" spans="1:18" x14ac:dyDescent="0.25">
      <c r="A340" s="180" t="s">
        <v>171</v>
      </c>
      <c r="B340" s="434">
        <f t="shared" si="22"/>
        <v>0</v>
      </c>
      <c r="C340" s="294"/>
      <c r="D340" s="296"/>
      <c r="E340" s="314"/>
      <c r="G340" s="314"/>
      <c r="H340" s="314"/>
      <c r="J340" s="129"/>
    </row>
    <row r="341" spans="1:18" x14ac:dyDescent="0.25">
      <c r="A341" s="180" t="s">
        <v>172</v>
      </c>
      <c r="B341" s="434">
        <f t="shared" si="22"/>
        <v>0</v>
      </c>
      <c r="C341" s="294"/>
      <c r="D341" s="296"/>
      <c r="E341" s="314"/>
      <c r="G341" s="314"/>
      <c r="H341" s="314"/>
      <c r="J341" s="129"/>
    </row>
    <row r="342" spans="1:18" x14ac:dyDescent="0.25">
      <c r="A342" s="180" t="s">
        <v>173</v>
      </c>
      <c r="B342" s="434">
        <f t="shared" si="22"/>
        <v>0</v>
      </c>
      <c r="C342" s="294"/>
      <c r="D342" s="296"/>
      <c r="E342" s="314"/>
      <c r="G342" s="314"/>
      <c r="H342" s="314"/>
      <c r="J342" s="129"/>
    </row>
    <row r="343" spans="1:18" x14ac:dyDescent="0.25">
      <c r="A343" s="180" t="s">
        <v>174</v>
      </c>
      <c r="B343" s="434">
        <f t="shared" si="22"/>
        <v>0</v>
      </c>
      <c r="C343" s="294"/>
      <c r="D343" s="296"/>
      <c r="E343" s="314"/>
      <c r="G343" s="314"/>
      <c r="H343" s="314"/>
      <c r="J343" s="129"/>
    </row>
    <row r="344" spans="1:18" x14ac:dyDescent="0.25">
      <c r="A344" s="180" t="s">
        <v>175</v>
      </c>
      <c r="B344" s="434">
        <f t="shared" si="22"/>
        <v>0</v>
      </c>
      <c r="C344" s="294"/>
      <c r="D344" s="296"/>
      <c r="E344" s="314"/>
      <c r="G344" s="314"/>
      <c r="H344" s="314"/>
      <c r="J344" s="129"/>
    </row>
    <row r="345" spans="1:18" x14ac:dyDescent="0.25">
      <c r="A345" s="180" t="s">
        <v>176</v>
      </c>
      <c r="B345" s="117" t="str">
        <f t="shared" ref="B345:B346" si="23">B319</f>
        <v>Проценты на инвест.стадии (рассчитываются автоматически)</v>
      </c>
      <c r="C345" s="294"/>
      <c r="D345" s="296"/>
      <c r="E345" s="314"/>
      <c r="G345" s="314"/>
      <c r="H345" s="314"/>
      <c r="J345" s="129"/>
    </row>
    <row r="346" spans="1:18" x14ac:dyDescent="0.25">
      <c r="A346" s="180" t="s">
        <v>177</v>
      </c>
      <c r="B346" s="117" t="str">
        <f t="shared" si="23"/>
        <v>Операционные расходы на инвест.стадии до получения выручки (рассчитываются автоматически)</v>
      </c>
      <c r="C346" s="335" t="s">
        <v>369</v>
      </c>
      <c r="D346" s="296"/>
      <c r="E346" s="314"/>
      <c r="G346" s="314"/>
      <c r="H346" s="314"/>
      <c r="J346" s="129"/>
    </row>
    <row r="347" spans="1:18" x14ac:dyDescent="0.25">
      <c r="D347" s="296"/>
      <c r="H347" s="144"/>
      <c r="I347" s="145"/>
    </row>
    <row r="348" spans="1:18" x14ac:dyDescent="0.25">
      <c r="R348" s="291"/>
    </row>
    <row r="349" spans="1:18" x14ac:dyDescent="0.25">
      <c r="B349" s="146" t="s">
        <v>208</v>
      </c>
      <c r="C349" s="146"/>
      <c r="D349" s="146"/>
      <c r="E349" s="205"/>
      <c r="F349" s="205"/>
      <c r="G349" s="150"/>
      <c r="H349" s="121"/>
      <c r="I349" s="121"/>
      <c r="J349" s="121"/>
      <c r="K349" s="121"/>
      <c r="L349" s="121"/>
      <c r="M349" s="121"/>
      <c r="N349" s="121"/>
      <c r="O349" s="121"/>
      <c r="P349" s="121"/>
      <c r="Q349" s="135"/>
    </row>
    <row r="350" spans="1:18" x14ac:dyDescent="0.25">
      <c r="B350" s="134"/>
      <c r="C350" s="135"/>
      <c r="D350" s="135"/>
      <c r="E350" s="208"/>
      <c r="F350" s="208"/>
      <c r="G350" s="136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</row>
    <row r="351" spans="1:18" x14ac:dyDescent="0.25">
      <c r="B351" s="164" t="s">
        <v>207</v>
      </c>
      <c r="C351" s="135"/>
      <c r="D351" s="135"/>
      <c r="E351" s="208"/>
      <c r="F351" s="208"/>
      <c r="G351" s="136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</row>
    <row r="352" spans="1:18" x14ac:dyDescent="0.25">
      <c r="B352" s="130" t="s">
        <v>206</v>
      </c>
      <c r="C352" s="130"/>
      <c r="D352" s="130"/>
      <c r="E352" s="161" t="s">
        <v>161</v>
      </c>
      <c r="F352" s="161"/>
      <c r="G352" s="132">
        <f t="shared" ref="G352:P352" si="24">G300</f>
        <v>2022</v>
      </c>
      <c r="H352" s="132">
        <f t="shared" si="24"/>
        <v>2023</v>
      </c>
      <c r="I352" s="132">
        <f t="shared" si="24"/>
        <v>2024</v>
      </c>
      <c r="J352" s="132">
        <f t="shared" si="24"/>
        <v>2025</v>
      </c>
      <c r="K352" s="132">
        <f t="shared" si="24"/>
        <v>2026</v>
      </c>
      <c r="L352" s="132">
        <f t="shared" si="24"/>
        <v>2027</v>
      </c>
      <c r="M352" s="132">
        <f t="shared" si="24"/>
        <v>2028</v>
      </c>
      <c r="N352" s="132">
        <f t="shared" si="24"/>
        <v>2029</v>
      </c>
      <c r="O352" s="132">
        <f t="shared" si="24"/>
        <v>2030</v>
      </c>
      <c r="P352" s="132">
        <f t="shared" si="24"/>
        <v>2031</v>
      </c>
      <c r="Q352" s="136" t="s">
        <v>6</v>
      </c>
    </row>
    <row r="353" spans="1:17" x14ac:dyDescent="0.25">
      <c r="B353" s="117" t="s">
        <v>414</v>
      </c>
      <c r="C353" s="135"/>
      <c r="D353" s="135"/>
      <c r="E353" s="129" t="s">
        <v>39</v>
      </c>
      <c r="G353" s="315">
        <f>SUM(G354:G355)</f>
        <v>31000</v>
      </c>
      <c r="H353" s="315">
        <f t="shared" ref="H353:P353" si="25">SUM(H354:H355)</f>
        <v>90000</v>
      </c>
      <c r="I353" s="315">
        <f t="shared" si="25"/>
        <v>2000</v>
      </c>
      <c r="J353" s="315">
        <f t="shared" si="25"/>
        <v>0</v>
      </c>
      <c r="K353" s="315">
        <f t="shared" si="25"/>
        <v>0</v>
      </c>
      <c r="L353" s="315">
        <f t="shared" si="25"/>
        <v>0</v>
      </c>
      <c r="M353" s="315">
        <f t="shared" si="25"/>
        <v>0</v>
      </c>
      <c r="N353" s="315">
        <f t="shared" si="25"/>
        <v>0</v>
      </c>
      <c r="O353" s="315">
        <f t="shared" si="25"/>
        <v>0</v>
      </c>
      <c r="P353" s="315">
        <f t="shared" si="25"/>
        <v>0</v>
      </c>
      <c r="Q353" s="315">
        <f t="shared" ref="Q353:Q358" si="26">SUM(G353:P353)</f>
        <v>123000</v>
      </c>
    </row>
    <row r="354" spans="1:17" x14ac:dyDescent="0.25">
      <c r="B354" s="443" t="s">
        <v>408</v>
      </c>
      <c r="C354" s="135"/>
      <c r="D354" s="135"/>
      <c r="E354" s="129" t="s">
        <v>39</v>
      </c>
      <c r="G354" s="238">
        <v>31000</v>
      </c>
      <c r="H354" s="238">
        <v>90000</v>
      </c>
      <c r="I354" s="238">
        <v>2000</v>
      </c>
      <c r="J354" s="238"/>
      <c r="K354" s="238"/>
      <c r="L354" s="238"/>
      <c r="M354" s="238"/>
      <c r="N354" s="238"/>
      <c r="O354" s="238"/>
      <c r="P354" s="238"/>
      <c r="Q354" s="315">
        <f t="shared" si="26"/>
        <v>123000</v>
      </c>
    </row>
    <row r="355" spans="1:17" ht="30" x14ac:dyDescent="0.25">
      <c r="B355" s="450" t="s">
        <v>415</v>
      </c>
      <c r="C355" s="135"/>
      <c r="D355" s="135"/>
      <c r="E355" s="129" t="s">
        <v>39</v>
      </c>
      <c r="G355" s="238"/>
      <c r="H355" s="238"/>
      <c r="I355" s="238"/>
      <c r="J355" s="238"/>
      <c r="K355" s="238"/>
      <c r="L355" s="238"/>
      <c r="M355" s="238"/>
      <c r="N355" s="238"/>
      <c r="O355" s="238"/>
      <c r="P355" s="238"/>
      <c r="Q355" s="315">
        <f t="shared" si="26"/>
        <v>0</v>
      </c>
    </row>
    <row r="356" spans="1:17" x14ac:dyDescent="0.25">
      <c r="B356" s="117" t="s">
        <v>205</v>
      </c>
      <c r="C356" s="178" t="s">
        <v>267</v>
      </c>
      <c r="D356" s="178"/>
      <c r="E356" s="129" t="s">
        <v>39</v>
      </c>
      <c r="G356" s="238"/>
      <c r="H356" s="238"/>
      <c r="I356" s="238"/>
      <c r="J356" s="238"/>
      <c r="K356" s="238"/>
      <c r="L356" s="238"/>
      <c r="M356" s="238"/>
      <c r="N356" s="238"/>
      <c r="O356" s="238"/>
      <c r="P356" s="238"/>
      <c r="Q356" s="315">
        <f t="shared" si="26"/>
        <v>0</v>
      </c>
    </row>
    <row r="357" spans="1:17" x14ac:dyDescent="0.25">
      <c r="B357" s="117" t="s">
        <v>243</v>
      </c>
      <c r="C357" s="294"/>
      <c r="D357" s="178"/>
      <c r="E357" s="129" t="s">
        <v>39</v>
      </c>
      <c r="G357" s="238">
        <v>30000</v>
      </c>
      <c r="H357" s="238">
        <v>20000</v>
      </c>
      <c r="I357" s="238"/>
      <c r="J357" s="238"/>
      <c r="K357" s="238"/>
      <c r="L357" s="238"/>
      <c r="M357" s="238"/>
      <c r="N357" s="238"/>
      <c r="O357" s="238"/>
      <c r="P357" s="238"/>
      <c r="Q357" s="315">
        <f t="shared" si="26"/>
        <v>50000</v>
      </c>
    </row>
    <row r="358" spans="1:17" x14ac:dyDescent="0.25">
      <c r="B358" s="134" t="s">
        <v>196</v>
      </c>
      <c r="C358" s="135"/>
      <c r="D358" s="135"/>
      <c r="E358" s="161" t="s">
        <v>39</v>
      </c>
      <c r="F358" s="174"/>
      <c r="G358" s="219">
        <f t="shared" ref="G358:P358" si="27">SUM(G353,G356,G357)</f>
        <v>61000</v>
      </c>
      <c r="H358" s="219">
        <f t="shared" si="27"/>
        <v>110000</v>
      </c>
      <c r="I358" s="219">
        <f t="shared" si="27"/>
        <v>2000</v>
      </c>
      <c r="J358" s="219">
        <f t="shared" si="27"/>
        <v>0</v>
      </c>
      <c r="K358" s="219">
        <f t="shared" si="27"/>
        <v>0</v>
      </c>
      <c r="L358" s="219">
        <f t="shared" si="27"/>
        <v>0</v>
      </c>
      <c r="M358" s="219">
        <f t="shared" si="27"/>
        <v>0</v>
      </c>
      <c r="N358" s="219">
        <f t="shared" si="27"/>
        <v>0</v>
      </c>
      <c r="O358" s="219">
        <f t="shared" si="27"/>
        <v>0</v>
      </c>
      <c r="P358" s="219">
        <f t="shared" si="27"/>
        <v>0</v>
      </c>
      <c r="Q358" s="219">
        <f t="shared" si="26"/>
        <v>173000</v>
      </c>
    </row>
    <row r="359" spans="1:17" x14ac:dyDescent="0.25">
      <c r="B359" s="134"/>
      <c r="C359" s="135"/>
      <c r="D359" s="135"/>
      <c r="E359" s="174"/>
      <c r="F359" s="174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  <c r="Q359" s="174"/>
    </row>
    <row r="360" spans="1:17" x14ac:dyDescent="0.25">
      <c r="B360" s="164" t="s">
        <v>209</v>
      </c>
    </row>
    <row r="361" spans="1:17" x14ac:dyDescent="0.25">
      <c r="B361" s="173" t="s">
        <v>232</v>
      </c>
      <c r="C361" s="174" t="str">
        <f>IF(SUM($G$356:$P$356)=0,"Отсутствует","")</f>
        <v>Отсутствует</v>
      </c>
      <c r="D361" s="174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</row>
    <row r="362" spans="1:17" x14ac:dyDescent="0.25">
      <c r="A362" s="186"/>
      <c r="B362" s="117" t="s">
        <v>45</v>
      </c>
      <c r="C362" s="239" t="str">
        <f>IF(SUM($G$356:$P$356)=0,"Х","")</f>
        <v>Х</v>
      </c>
      <c r="D362" s="239"/>
      <c r="E362" s="138" t="s">
        <v>46</v>
      </c>
      <c r="G362" s="176"/>
      <c r="Q362" s="444"/>
    </row>
    <row r="363" spans="1:17" x14ac:dyDescent="0.25">
      <c r="A363" s="186"/>
      <c r="B363" s="117" t="s">
        <v>240</v>
      </c>
      <c r="C363" s="239" t="str">
        <f>IF(SUM($G$356:$P$356)=0,"Х","")</f>
        <v>Х</v>
      </c>
      <c r="D363" s="239"/>
      <c r="E363" s="129" t="s">
        <v>210</v>
      </c>
      <c r="F363" s="129"/>
      <c r="G363" s="167"/>
    </row>
    <row r="364" spans="1:17" x14ac:dyDescent="0.25">
      <c r="A364" s="186"/>
      <c r="E364" s="129"/>
      <c r="F364" s="129"/>
      <c r="H364" s="235"/>
    </row>
    <row r="365" spans="1:17" x14ac:dyDescent="0.25">
      <c r="B365" s="173" t="s">
        <v>233</v>
      </c>
      <c r="C365" s="174" t="str">
        <f>IF(SUM($G$357:$P$357)=0,"Отсутствует","")</f>
        <v/>
      </c>
      <c r="D365" s="174"/>
      <c r="G365" s="430"/>
      <c r="H365" s="161"/>
      <c r="I365" s="161"/>
      <c r="J365" s="161"/>
      <c r="K365" s="161"/>
      <c r="L365" s="161"/>
      <c r="M365" s="161"/>
      <c r="N365" s="161"/>
      <c r="O365" s="161"/>
      <c r="P365" s="161"/>
    </row>
    <row r="366" spans="1:17" x14ac:dyDescent="0.25">
      <c r="B366" s="117" t="s">
        <v>45</v>
      </c>
      <c r="C366" s="239" t="str">
        <f>IF(SUM($G$357:$P$357)=0,"Х","")</f>
        <v/>
      </c>
      <c r="D366" s="239"/>
      <c r="E366" s="138" t="s">
        <v>46</v>
      </c>
      <c r="G366" s="176">
        <v>0.05</v>
      </c>
    </row>
    <row r="367" spans="1:17" x14ac:dyDescent="0.25">
      <c r="B367" s="117" t="s">
        <v>240</v>
      </c>
      <c r="C367" s="239" t="str">
        <f>IF(SUM($G$357:$P$357)=0,"Х","")</f>
        <v/>
      </c>
      <c r="D367" s="239"/>
      <c r="E367" s="129" t="s">
        <v>210</v>
      </c>
      <c r="F367" s="129"/>
      <c r="G367" s="298">
        <v>2026</v>
      </c>
    </row>
    <row r="368" spans="1:17" x14ac:dyDescent="0.25">
      <c r="B368" s="177"/>
      <c r="E368" s="129"/>
      <c r="F368" s="129"/>
    </row>
    <row r="369" spans="1:17" x14ac:dyDescent="0.25">
      <c r="B369" s="146" t="s">
        <v>47</v>
      </c>
      <c r="C369" s="146"/>
      <c r="D369" s="146"/>
      <c r="E369" s="205"/>
      <c r="F369" s="205"/>
      <c r="G369" s="150"/>
      <c r="H369" s="121"/>
      <c r="I369" s="121"/>
      <c r="J369" s="121"/>
      <c r="K369" s="121"/>
      <c r="L369" s="121"/>
      <c r="M369" s="121"/>
      <c r="N369" s="121"/>
      <c r="O369" s="121"/>
      <c r="P369" s="121"/>
      <c r="Q369" s="116"/>
    </row>
    <row r="370" spans="1:17" x14ac:dyDescent="0.25">
      <c r="A370" s="185"/>
      <c r="B370" s="134"/>
      <c r="C370" s="134"/>
      <c r="D370" s="134"/>
      <c r="E370" s="136"/>
      <c r="F370" s="136"/>
      <c r="G370" s="13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</row>
    <row r="371" spans="1:17" x14ac:dyDescent="0.25">
      <c r="A371" s="185"/>
      <c r="B371" s="164" t="s">
        <v>211</v>
      </c>
      <c r="C371" s="178" t="s">
        <v>267</v>
      </c>
      <c r="D371" s="178"/>
      <c r="E371" s="136"/>
      <c r="F371" s="13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</row>
    <row r="372" spans="1:17" x14ac:dyDescent="0.25">
      <c r="A372" s="185"/>
      <c r="B372" s="173" t="s">
        <v>326</v>
      </c>
      <c r="C372" s="299" t="s">
        <v>540</v>
      </c>
      <c r="D372" s="178"/>
      <c r="G372" s="302" t="str">
        <f>IF($C$372="Другой","! Необходимо внести корректировки в расчеты шаблона вручную","")</f>
        <v/>
      </c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</row>
    <row r="373" spans="1:17" x14ac:dyDescent="0.25">
      <c r="A373" s="185"/>
      <c r="C373" s="127"/>
      <c r="D373" s="127"/>
      <c r="E373" s="136"/>
      <c r="F373" s="13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</row>
    <row r="374" spans="1:17" x14ac:dyDescent="0.25">
      <c r="A374" s="133"/>
      <c r="B374" s="164" t="s">
        <v>270</v>
      </c>
      <c r="C374" s="178"/>
      <c r="D374" s="178"/>
      <c r="E374" s="178" t="s">
        <v>161</v>
      </c>
      <c r="F374" s="178"/>
      <c r="G374" s="132">
        <f t="shared" ref="G374:P374" si="28">G352</f>
        <v>2022</v>
      </c>
      <c r="H374" s="132">
        <f t="shared" si="28"/>
        <v>2023</v>
      </c>
      <c r="I374" s="132">
        <f t="shared" si="28"/>
        <v>2024</v>
      </c>
      <c r="J374" s="132">
        <f t="shared" si="28"/>
        <v>2025</v>
      </c>
      <c r="K374" s="132">
        <f t="shared" si="28"/>
        <v>2026</v>
      </c>
      <c r="L374" s="132">
        <f t="shared" si="28"/>
        <v>2027</v>
      </c>
      <c r="M374" s="132">
        <f t="shared" si="28"/>
        <v>2028</v>
      </c>
      <c r="N374" s="132">
        <f t="shared" si="28"/>
        <v>2029</v>
      </c>
      <c r="O374" s="132">
        <f t="shared" si="28"/>
        <v>2030</v>
      </c>
      <c r="P374" s="132">
        <f t="shared" si="28"/>
        <v>2031</v>
      </c>
    </row>
    <row r="375" spans="1:17" x14ac:dyDescent="0.25">
      <c r="A375" s="133"/>
      <c r="B375" s="118" t="s">
        <v>48</v>
      </c>
      <c r="C375" s="119"/>
      <c r="D375" s="119"/>
      <c r="E375" s="119" t="s">
        <v>14</v>
      </c>
      <c r="F375" s="119"/>
      <c r="G375" s="172">
        <v>0.2</v>
      </c>
      <c r="H375" s="172">
        <v>0.2</v>
      </c>
      <c r="I375" s="172">
        <v>0.2</v>
      </c>
      <c r="J375" s="172">
        <v>0.2</v>
      </c>
      <c r="K375" s="172">
        <v>0.2</v>
      </c>
      <c r="L375" s="172">
        <v>0.2</v>
      </c>
      <c r="M375" s="172">
        <v>0.2</v>
      </c>
      <c r="N375" s="172">
        <v>0.2</v>
      </c>
      <c r="O375" s="172">
        <v>0.2</v>
      </c>
      <c r="P375" s="172">
        <v>0.2</v>
      </c>
    </row>
    <row r="376" spans="1:17" x14ac:dyDescent="0.25">
      <c r="A376" s="133"/>
      <c r="B376" s="118" t="s">
        <v>49</v>
      </c>
      <c r="C376" s="119"/>
      <c r="D376" s="119"/>
      <c r="E376" s="119" t="s">
        <v>14</v>
      </c>
      <c r="F376" s="119"/>
      <c r="G376" s="455">
        <v>2.1999999999999999E-2</v>
      </c>
      <c r="H376" s="455">
        <v>2.1999999999999999E-2</v>
      </c>
      <c r="I376" s="455">
        <v>2.1999999999999999E-2</v>
      </c>
      <c r="J376" s="455">
        <v>2.1999999999999999E-2</v>
      </c>
      <c r="K376" s="455">
        <v>2.1999999999999999E-2</v>
      </c>
      <c r="L376" s="455">
        <v>2.1999999999999999E-2</v>
      </c>
      <c r="M376" s="455">
        <v>2.1999999999999999E-2</v>
      </c>
      <c r="N376" s="455">
        <v>2.1999999999999999E-2</v>
      </c>
      <c r="O376" s="455">
        <v>2.1999999999999999E-2</v>
      </c>
      <c r="P376" s="455">
        <v>2.1999999999999999E-2</v>
      </c>
    </row>
    <row r="377" spans="1:17" x14ac:dyDescent="0.25">
      <c r="A377" s="133"/>
      <c r="B377" s="118" t="s">
        <v>50</v>
      </c>
      <c r="C377" s="119"/>
      <c r="D377" s="119"/>
      <c r="E377" s="119" t="s">
        <v>14</v>
      </c>
      <c r="F377" s="119"/>
      <c r="G377" s="172">
        <v>0.2</v>
      </c>
      <c r="H377" s="172">
        <v>0.2</v>
      </c>
      <c r="I377" s="172">
        <v>0.2</v>
      </c>
      <c r="J377" s="172">
        <v>0.2</v>
      </c>
      <c r="K377" s="172">
        <v>0.2</v>
      </c>
      <c r="L377" s="172">
        <v>0.2</v>
      </c>
      <c r="M377" s="172">
        <v>0.2</v>
      </c>
      <c r="N377" s="172">
        <v>0.2</v>
      </c>
      <c r="O377" s="172">
        <v>0.2</v>
      </c>
      <c r="P377" s="172">
        <v>0.2</v>
      </c>
    </row>
    <row r="378" spans="1:17" x14ac:dyDescent="0.25">
      <c r="A378" s="133"/>
      <c r="B378" s="118" t="s">
        <v>51</v>
      </c>
      <c r="C378" s="119"/>
      <c r="D378" s="119"/>
      <c r="E378" s="119" t="s">
        <v>14</v>
      </c>
      <c r="F378" s="119"/>
      <c r="G378" s="172">
        <v>0.13</v>
      </c>
      <c r="H378" s="172">
        <v>0.13</v>
      </c>
      <c r="I378" s="172">
        <v>0.13</v>
      </c>
      <c r="J378" s="172">
        <v>0.13</v>
      </c>
      <c r="K378" s="172">
        <v>0.13</v>
      </c>
      <c r="L378" s="172">
        <v>0.13</v>
      </c>
      <c r="M378" s="172">
        <v>0.13</v>
      </c>
      <c r="N378" s="172">
        <v>0.13</v>
      </c>
      <c r="O378" s="172">
        <v>0.13</v>
      </c>
      <c r="P378" s="172">
        <v>0.13</v>
      </c>
    </row>
    <row r="379" spans="1:17" x14ac:dyDescent="0.25">
      <c r="A379" s="133"/>
      <c r="B379" s="118" t="s">
        <v>416</v>
      </c>
      <c r="C379" s="119"/>
      <c r="D379" s="119"/>
      <c r="E379" s="119" t="s">
        <v>14</v>
      </c>
      <c r="F379" s="119"/>
      <c r="G379" s="455">
        <v>1.4999999999999999E-2</v>
      </c>
      <c r="H379" s="455">
        <v>1.4999999999999999E-2</v>
      </c>
      <c r="I379" s="455">
        <v>1.4999999999999999E-2</v>
      </c>
      <c r="J379" s="455">
        <v>1.4999999999999999E-2</v>
      </c>
      <c r="K379" s="455">
        <v>1.4999999999999999E-2</v>
      </c>
      <c r="L379" s="455">
        <v>1.4999999999999999E-2</v>
      </c>
      <c r="M379" s="455">
        <v>1.4999999999999999E-2</v>
      </c>
      <c r="N379" s="455">
        <v>1.4999999999999999E-2</v>
      </c>
      <c r="O379" s="455">
        <v>1.4999999999999999E-2</v>
      </c>
      <c r="P379" s="455">
        <v>1.4999999999999999E-2</v>
      </c>
    </row>
    <row r="380" spans="1:17" x14ac:dyDescent="0.25">
      <c r="A380" s="133"/>
      <c r="B380" s="118" t="s">
        <v>248</v>
      </c>
      <c r="C380" s="119"/>
      <c r="D380" s="119"/>
      <c r="E380" s="119" t="s">
        <v>14</v>
      </c>
      <c r="F380" s="119"/>
      <c r="G380" s="172">
        <v>0.06</v>
      </c>
      <c r="H380" s="172">
        <v>0.06</v>
      </c>
      <c r="I380" s="172">
        <v>0.06</v>
      </c>
      <c r="J380" s="172">
        <v>0.06</v>
      </c>
      <c r="K380" s="172">
        <v>0.06</v>
      </c>
      <c r="L380" s="172">
        <v>0.06</v>
      </c>
      <c r="M380" s="172">
        <v>0.06</v>
      </c>
      <c r="N380" s="172">
        <v>0.06</v>
      </c>
      <c r="O380" s="172">
        <v>0.06</v>
      </c>
      <c r="P380" s="172">
        <v>0.06</v>
      </c>
    </row>
    <row r="381" spans="1:17" x14ac:dyDescent="0.25">
      <c r="B381" s="118" t="s">
        <v>321</v>
      </c>
      <c r="C381" s="119"/>
      <c r="D381" s="119"/>
      <c r="E381" s="119" t="s">
        <v>14</v>
      </c>
      <c r="F381" s="119"/>
      <c r="G381" s="172">
        <v>0.15</v>
      </c>
      <c r="H381" s="172">
        <v>0.15</v>
      </c>
      <c r="I381" s="172">
        <v>0.15</v>
      </c>
      <c r="J381" s="172">
        <v>0.15</v>
      </c>
      <c r="K381" s="172">
        <v>0.15</v>
      </c>
      <c r="L381" s="172">
        <v>0.15</v>
      </c>
      <c r="M381" s="172">
        <v>0.15</v>
      </c>
      <c r="N381" s="172">
        <v>0.15</v>
      </c>
      <c r="O381" s="172">
        <v>0.15</v>
      </c>
      <c r="P381" s="172">
        <v>0.15</v>
      </c>
    </row>
    <row r="382" spans="1:17" x14ac:dyDescent="0.25">
      <c r="B382" s="118" t="s">
        <v>333</v>
      </c>
      <c r="C382" s="119"/>
      <c r="D382" s="119"/>
      <c r="E382" s="119" t="s">
        <v>14</v>
      </c>
      <c r="F382" s="119"/>
      <c r="G382" s="172">
        <v>0.01</v>
      </c>
      <c r="H382" s="172">
        <v>0.01</v>
      </c>
      <c r="I382" s="172">
        <v>0.01</v>
      </c>
      <c r="J382" s="172">
        <v>0.01</v>
      </c>
      <c r="K382" s="172">
        <v>0.01</v>
      </c>
      <c r="L382" s="172">
        <v>0.01</v>
      </c>
      <c r="M382" s="172">
        <v>0.01</v>
      </c>
      <c r="N382" s="172">
        <v>0.01</v>
      </c>
      <c r="O382" s="172">
        <v>0.01</v>
      </c>
      <c r="P382" s="172">
        <v>0.01</v>
      </c>
    </row>
    <row r="383" spans="1:17" x14ac:dyDescent="0.25">
      <c r="B383" s="224" t="s">
        <v>269</v>
      </c>
      <c r="C383" s="119"/>
      <c r="D383" s="119"/>
      <c r="E383" s="138" t="s">
        <v>39</v>
      </c>
      <c r="G383" s="301"/>
      <c r="H383" s="301"/>
      <c r="I383" s="301"/>
      <c r="J383" s="301"/>
      <c r="K383" s="301"/>
      <c r="L383" s="301"/>
      <c r="M383" s="301"/>
      <c r="N383" s="301"/>
      <c r="O383" s="301"/>
      <c r="P383" s="301"/>
    </row>
    <row r="385" spans="2:16" x14ac:dyDescent="0.25">
      <c r="B385" s="146" t="s">
        <v>377</v>
      </c>
      <c r="C385" s="146"/>
      <c r="D385" s="146"/>
      <c r="E385" s="205"/>
      <c r="F385" s="205"/>
      <c r="G385" s="150"/>
      <c r="H385" s="121"/>
      <c r="I385" s="121"/>
      <c r="J385" s="121"/>
      <c r="K385" s="121"/>
      <c r="L385" s="121"/>
      <c r="M385" s="121"/>
      <c r="N385" s="121"/>
      <c r="O385" s="121"/>
      <c r="P385" s="121"/>
    </row>
    <row r="387" spans="2:16" x14ac:dyDescent="0.25">
      <c r="B387" s="164" t="s">
        <v>375</v>
      </c>
    </row>
    <row r="388" spans="2:16" x14ac:dyDescent="0.25">
      <c r="C388" s="129" t="s">
        <v>14</v>
      </c>
      <c r="E388" s="172"/>
    </row>
    <row r="390" spans="2:16" x14ac:dyDescent="0.25">
      <c r="B390" s="369">
        <v>2</v>
      </c>
      <c r="C390" s="17"/>
      <c r="D390" s="17"/>
      <c r="E390" s="265" t="s">
        <v>92</v>
      </c>
      <c r="F390" s="265"/>
      <c r="G390" s="54" t="s">
        <v>93</v>
      </c>
      <c r="H390" s="272"/>
      <c r="I390" s="54"/>
      <c r="J390" s="53" t="s">
        <v>94</v>
      </c>
      <c r="K390" s="273"/>
    </row>
    <row r="391" spans="2:16" x14ac:dyDescent="0.25">
      <c r="B391" s="73" t="s">
        <v>95</v>
      </c>
      <c r="C391" s="53" t="s">
        <v>14</v>
      </c>
      <c r="D391" s="53"/>
      <c r="E391" s="274">
        <v>8.7999999999999995E-2</v>
      </c>
      <c r="F391" s="265"/>
      <c r="G391" s="75" t="s">
        <v>96</v>
      </c>
      <c r="H391" s="672" t="s">
        <v>97</v>
      </c>
      <c r="I391" s="672"/>
      <c r="J391" s="672"/>
      <c r="K391" s="672"/>
      <c r="L391" s="672"/>
    </row>
    <row r="392" spans="2:16" x14ac:dyDescent="0.25">
      <c r="B392" s="7" t="s">
        <v>98</v>
      </c>
      <c r="C392" s="53"/>
      <c r="D392" s="53"/>
      <c r="E392" s="275">
        <v>0.99</v>
      </c>
      <c r="F392" s="265"/>
      <c r="G392" s="75" t="s">
        <v>99</v>
      </c>
      <c r="H392" s="670" t="s">
        <v>385</v>
      </c>
      <c r="I392" s="670"/>
      <c r="J392" s="670"/>
      <c r="K392" s="670"/>
      <c r="L392" s="670"/>
    </row>
    <row r="393" spans="2:16" x14ac:dyDescent="0.25">
      <c r="B393" s="7" t="s">
        <v>100</v>
      </c>
      <c r="C393" s="53" t="s">
        <v>14</v>
      </c>
      <c r="D393" s="53"/>
      <c r="E393" s="74">
        <v>5.1299999999999998E-2</v>
      </c>
      <c r="F393" s="265"/>
      <c r="G393" s="75" t="s">
        <v>99</v>
      </c>
      <c r="H393" s="671" t="s">
        <v>101</v>
      </c>
      <c r="I393" s="671"/>
      <c r="J393" s="671"/>
      <c r="K393" s="671"/>
      <c r="L393" s="671"/>
    </row>
    <row r="394" spans="2:16" x14ac:dyDescent="0.25">
      <c r="B394" s="7" t="s">
        <v>102</v>
      </c>
      <c r="C394" s="53" t="s">
        <v>14</v>
      </c>
      <c r="D394" s="53"/>
      <c r="E394" s="74">
        <v>2.18E-2</v>
      </c>
      <c r="F394" s="265"/>
      <c r="G394" s="75" t="s">
        <v>99</v>
      </c>
      <c r="H394" s="671" t="s">
        <v>103</v>
      </c>
      <c r="I394" s="671"/>
      <c r="J394" s="671"/>
      <c r="K394" s="671"/>
      <c r="L394" s="671"/>
    </row>
    <row r="395" spans="2:16" x14ac:dyDescent="0.25">
      <c r="B395" s="17" t="s">
        <v>104</v>
      </c>
      <c r="C395" s="265" t="s">
        <v>14</v>
      </c>
      <c r="D395" s="265"/>
      <c r="E395" s="374">
        <f>E391+E392*E393+E394</f>
        <v>0.16058699999999998</v>
      </c>
      <c r="F395" s="362"/>
      <c r="G395" s="7"/>
      <c r="H395" s="677" t="s">
        <v>399</v>
      </c>
      <c r="I395" s="677"/>
      <c r="J395" s="677"/>
      <c r="K395" s="677"/>
      <c r="L395" s="677"/>
    </row>
    <row r="396" spans="2:16" x14ac:dyDescent="0.25">
      <c r="H396" s="678"/>
      <c r="I396" s="678"/>
      <c r="J396" s="678"/>
      <c r="K396" s="678"/>
      <c r="L396" s="678"/>
    </row>
    <row r="397" spans="2:16" x14ac:dyDescent="0.25">
      <c r="B397" s="164" t="s">
        <v>376</v>
      </c>
    </row>
    <row r="398" spans="2:16" x14ac:dyDescent="0.25">
      <c r="B398" s="30" t="s">
        <v>105</v>
      </c>
      <c r="C398" s="52" t="s">
        <v>14</v>
      </c>
      <c r="D398" s="52"/>
      <c r="E398" s="76">
        <f>IFERROR(IF(G366=0,G362,IF(G362=0,G366,AVERAGE($G$362,$G$366))),0)</f>
        <v>0.05</v>
      </c>
    </row>
    <row r="399" spans="2:16" x14ac:dyDescent="0.25">
      <c r="B399" s="164"/>
    </row>
    <row r="400" spans="2:16" x14ac:dyDescent="0.25">
      <c r="B400" s="146" t="s">
        <v>383</v>
      </c>
      <c r="C400" s="146"/>
      <c r="D400" s="146"/>
      <c r="E400" s="146"/>
      <c r="F400" s="225"/>
    </row>
    <row r="402" spans="1:7" x14ac:dyDescent="0.25">
      <c r="B402" s="676" t="s">
        <v>335</v>
      </c>
      <c r="C402" s="676"/>
      <c r="D402" s="306"/>
      <c r="E402" s="329" t="s">
        <v>336</v>
      </c>
      <c r="F402" s="306"/>
    </row>
    <row r="403" spans="1:7" x14ac:dyDescent="0.25">
      <c r="A403" s="180" t="s">
        <v>151</v>
      </c>
      <c r="B403" s="653" t="s">
        <v>407</v>
      </c>
      <c r="C403" s="653"/>
      <c r="D403" s="364"/>
      <c r="E403" s="316" t="str">
        <f>IF(Q358=0,"Нет данных",IF(Предпосылки!Q358&gt;=Инвестиции!R28,"Да","Нет"))</f>
        <v>Нет</v>
      </c>
      <c r="F403" s="306"/>
      <c r="G403" s="175" t="str">
        <f>IF(E403="Нет","Возможно, финансирование не учитывает инфляцию инвестиционных расходов. Необходимо перепроверить","")</f>
        <v>Возможно, финансирование не учитывает инфляцию инвестиционных расходов. Необходимо перепроверить</v>
      </c>
    </row>
    <row r="404" spans="1:7" x14ac:dyDescent="0.25">
      <c r="A404" s="180" t="s">
        <v>152</v>
      </c>
      <c r="B404" s="653" t="s">
        <v>393</v>
      </c>
      <c r="C404" s="653"/>
      <c r="D404" s="364"/>
      <c r="E404" s="317" t="str">
        <f>IF(SUM(G41:P50)=0,"Нет данных",IF(SUM(G51:P51)=COUNTIF(G321:P321,"&lt;&gt;0"),"Да","Нет"))</f>
        <v>Нет</v>
      </c>
      <c r="F404" s="306"/>
      <c r="G404" s="175" t="str">
        <f>IF(E404="Нет","Возможно, ошибка. Необходимо перепроверить","")</f>
        <v>Возможно, ошибка. Необходимо перепроверить</v>
      </c>
    </row>
    <row r="405" spans="1:7" x14ac:dyDescent="0.25">
      <c r="A405" s="180" t="s">
        <v>153</v>
      </c>
      <c r="B405" s="653" t="s">
        <v>340</v>
      </c>
      <c r="C405" s="653"/>
      <c r="D405" s="364"/>
      <c r="E405" s="317" t="str">
        <f>IFERROR(IF(G193="-","Нет данных",IF($G$193&lt;G192,"Нет","Да")),"Нет данных")</f>
        <v>Нет</v>
      </c>
      <c r="F405" s="306"/>
      <c r="G405" s="175" t="str">
        <f t="shared" ref="G405:G409" si="29">IF(E405="Нет","Возможно, ошибка. Необходимо перепроверить","")</f>
        <v>Возможно, ошибка. Необходимо перепроверить</v>
      </c>
    </row>
    <row r="406" spans="1:7" x14ac:dyDescent="0.25">
      <c r="A406" s="180" t="s">
        <v>154</v>
      </c>
      <c r="B406" s="653" t="s">
        <v>387</v>
      </c>
      <c r="C406" s="653"/>
      <c r="D406" s="364"/>
      <c r="E406" s="317" t="str">
        <f>IF(OR(G296=0,G297=0),"Нет","Да")</f>
        <v>Да</v>
      </c>
      <c r="F406" s="306"/>
      <c r="G406" s="175" t="str">
        <f t="shared" si="29"/>
        <v/>
      </c>
    </row>
    <row r="407" spans="1:7" x14ac:dyDescent="0.25">
      <c r="A407" s="180" t="s">
        <v>155</v>
      </c>
      <c r="B407" s="656" t="s">
        <v>426</v>
      </c>
      <c r="C407" s="657"/>
      <c r="D407" s="364"/>
      <c r="E407" s="540" t="str">
        <f ca="1">IF(SUM(БДДС!D47:M47)=0,"Да","Нет")</f>
        <v>Нет</v>
      </c>
      <c r="F407" s="306"/>
      <c r="G407" s="175"/>
    </row>
    <row r="408" spans="1:7" x14ac:dyDescent="0.25">
      <c r="A408" s="180" t="s">
        <v>156</v>
      </c>
      <c r="B408" s="653" t="s">
        <v>411</v>
      </c>
      <c r="C408" s="653"/>
      <c r="D408" s="364"/>
      <c r="E408" s="317" t="str">
        <f>IF(C372="","Нет данных",IF(OR(AND(C372="УСН, доходы",SUM(G380:P380)&lt;&gt;0),AND(C372="УСН, доходы-расходы",SUM(G381:P381)&lt;&gt;0),AND(C372="Общий",SUM(G375:P377)&lt;&gt;0)),"Да","Нет"))</f>
        <v>Нет</v>
      </c>
      <c r="F408" s="306"/>
      <c r="G408" s="175" t="str">
        <f>IF(E408="Нет","Возможно, ошибка. Необходимо перепроверить","")</f>
        <v>Возможно, ошибка. Необходимо перепроверить</v>
      </c>
    </row>
    <row r="409" spans="1:7" x14ac:dyDescent="0.25">
      <c r="A409" s="180" t="s">
        <v>157</v>
      </c>
      <c r="B409" s="653" t="s">
        <v>454</v>
      </c>
      <c r="C409" s="653"/>
      <c r="E409" s="317" t="str">
        <f>IF(AND(G139&gt;=G296,G140&lt;=G297),"Да","Нет")</f>
        <v>Нет</v>
      </c>
      <c r="G409" s="175" t="str">
        <f t="shared" si="29"/>
        <v>Возможно, ошибка. Необходимо перепроверить</v>
      </c>
    </row>
  </sheetData>
  <mergeCells count="100">
    <mergeCell ref="C7:J7"/>
    <mergeCell ref="C9:J11"/>
    <mergeCell ref="C13:J15"/>
    <mergeCell ref="C4:J5"/>
    <mergeCell ref="B406:C406"/>
    <mergeCell ref="B402:C402"/>
    <mergeCell ref="B403:C403"/>
    <mergeCell ref="B405:C405"/>
    <mergeCell ref="B404:C404"/>
    <mergeCell ref="B90:C90"/>
    <mergeCell ref="B91:C91"/>
    <mergeCell ref="B256:C256"/>
    <mergeCell ref="B257:C257"/>
    <mergeCell ref="B132:C132"/>
    <mergeCell ref="B133:C133"/>
    <mergeCell ref="H395:L396"/>
    <mergeCell ref="B100:C100"/>
    <mergeCell ref="B95:C95"/>
    <mergeCell ref="B96:C96"/>
    <mergeCell ref="B97:C97"/>
    <mergeCell ref="B98:C98"/>
    <mergeCell ref="B99:C99"/>
    <mergeCell ref="B85:C85"/>
    <mergeCell ref="B86:C86"/>
    <mergeCell ref="B87:C87"/>
    <mergeCell ref="B88:C88"/>
    <mergeCell ref="B89:C89"/>
    <mergeCell ref="H392:L392"/>
    <mergeCell ref="H393:L393"/>
    <mergeCell ref="H394:L394"/>
    <mergeCell ref="H391:L391"/>
    <mergeCell ref="B190:G190"/>
    <mergeCell ref="B191:G191"/>
    <mergeCell ref="B70:C70"/>
    <mergeCell ref="B55:C55"/>
    <mergeCell ref="B56:C56"/>
    <mergeCell ref="B57:C57"/>
    <mergeCell ref="B135:C135"/>
    <mergeCell ref="B58:C58"/>
    <mergeCell ref="B59:C59"/>
    <mergeCell ref="B60:C60"/>
    <mergeCell ref="B61:C61"/>
    <mergeCell ref="B62:C62"/>
    <mergeCell ref="B63:C63"/>
    <mergeCell ref="B69:C69"/>
    <mergeCell ref="B129:C129"/>
    <mergeCell ref="B130:C130"/>
    <mergeCell ref="B71:C71"/>
    <mergeCell ref="B72:C72"/>
    <mergeCell ref="B44:C44"/>
    <mergeCell ref="B43:C43"/>
    <mergeCell ref="B42:C42"/>
    <mergeCell ref="B41:C41"/>
    <mergeCell ref="B54:C54"/>
    <mergeCell ref="B49:C49"/>
    <mergeCell ref="B48:C48"/>
    <mergeCell ref="B47:C47"/>
    <mergeCell ref="B46:C46"/>
    <mergeCell ref="B45:C45"/>
    <mergeCell ref="B50:C50"/>
    <mergeCell ref="G27:N27"/>
    <mergeCell ref="B2:P2"/>
    <mergeCell ref="G264:P264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C6:J6"/>
    <mergeCell ref="B258:C258"/>
    <mergeCell ref="B126:C126"/>
    <mergeCell ref="B73:C73"/>
    <mergeCell ref="B82:C82"/>
    <mergeCell ref="B83:C83"/>
    <mergeCell ref="B84:C84"/>
    <mergeCell ref="B74:C74"/>
    <mergeCell ref="B75:C75"/>
    <mergeCell ref="B76:C76"/>
    <mergeCell ref="B77:C77"/>
    <mergeCell ref="B78:C78"/>
    <mergeCell ref="B409:C409"/>
    <mergeCell ref="B113:C113"/>
    <mergeCell ref="E113:F113"/>
    <mergeCell ref="B407:C407"/>
    <mergeCell ref="B259:C259"/>
    <mergeCell ref="B260:C260"/>
    <mergeCell ref="B240:G240"/>
    <mergeCell ref="B241:G241"/>
    <mergeCell ref="B242:G242"/>
    <mergeCell ref="B239:G239"/>
    <mergeCell ref="B408:C408"/>
    <mergeCell ref="B134:C134"/>
    <mergeCell ref="B131:C131"/>
    <mergeCell ref="B127:C127"/>
    <mergeCell ref="B128:C128"/>
  </mergeCells>
  <conditionalFormatting sqref="E361:P363">
    <cfRule type="expression" dxfId="24" priority="32">
      <formula>$C$361="Отсутствует"</formula>
    </cfRule>
  </conditionalFormatting>
  <conditionalFormatting sqref="E365:Q367">
    <cfRule type="expression" dxfId="23" priority="31">
      <formula>$C$365="Отсутствует"</formula>
    </cfRule>
  </conditionalFormatting>
  <conditionalFormatting sqref="G323:L324">
    <cfRule type="expression" dxfId="22" priority="26">
      <formula>$C$323="С инфляцией"</formula>
    </cfRule>
  </conditionalFormatting>
  <conditionalFormatting sqref="E403:E407">
    <cfRule type="expression" dxfId="21" priority="24">
      <formula>E403="Нет данных"</formula>
    </cfRule>
    <cfRule type="expression" dxfId="20" priority="25">
      <formula>E403="Нет"</formula>
    </cfRule>
  </conditionalFormatting>
  <conditionalFormatting sqref="G403:G407">
    <cfRule type="expression" dxfId="19" priority="23">
      <formula>$E$403="Нет"</formula>
    </cfRule>
  </conditionalFormatting>
  <conditionalFormatting sqref="C388:E388">
    <cfRule type="expression" dxfId="18" priority="33">
      <formula>$B$390=2</formula>
    </cfRule>
  </conditionalFormatting>
  <conditionalFormatting sqref="B391:M394 E390:L390 B395:H395 M395">
    <cfRule type="expression" dxfId="17" priority="20">
      <formula>$B$390=1</formula>
    </cfRule>
  </conditionalFormatting>
  <conditionalFormatting sqref="G408">
    <cfRule type="expression" dxfId="16" priority="16">
      <formula>$E$403="Нет"</formula>
    </cfRule>
  </conditionalFormatting>
  <conditionalFormatting sqref="E408">
    <cfRule type="expression" dxfId="15" priority="14">
      <formula>E408="Нет данных"</formula>
    </cfRule>
    <cfRule type="expression" dxfId="14" priority="15">
      <formula>E408="Нет"</formula>
    </cfRule>
  </conditionalFormatting>
  <conditionalFormatting sqref="I296">
    <cfRule type="expression" dxfId="13" priority="5">
      <formula>$G$296=""</formula>
    </cfRule>
    <cfRule type="expression" dxfId="12" priority="12">
      <formula>$G$296&lt;&gt;_xlfn.IFS(G299&lt;&gt;0,G300,H299&lt;&gt;0,H300,I299&lt;&gt;0,I300,J299&lt;&gt;0,J300,K299&lt;&gt;0,K300,L299&lt;&gt;0,L300,M299&lt;&gt;0,M300,N299&lt;&gt;0,N300,O299&lt;&gt;0,O300)</formula>
    </cfRule>
    <cfRule type="expression" dxfId="11" priority="13">
      <formula>$G$296=_xlfn.IFS(G299&lt;&gt;0,G300,H299&lt;&gt;0,H300,I299&lt;&gt;0,I300,J299&lt;&gt;0,J300,K299&lt;&gt;0,K300,L299&lt;&gt;0,L300,M299&lt;&gt;0,M300,N299&lt;&gt;0,N300,O299&lt;&gt;0,O300)</formula>
    </cfRule>
  </conditionalFormatting>
  <conditionalFormatting sqref="I297">
    <cfRule type="expression" dxfId="10" priority="4">
      <formula>$G$297=""</formula>
    </cfRule>
    <cfRule type="expression" dxfId="9" priority="8">
      <formula>$G$297&lt;&gt;_xlfn.IFS(O299&lt;&gt;0,O300,N299&lt;&gt;0,N300,M299&lt;&gt;0,M300,L299&lt;&gt;0,L300,K299&lt;&gt;0,K300,J299&lt;&gt;0,J300,I299&lt;&gt;0,I300,H299&lt;&gt;0,H300,G299&lt;&gt;0,G300)</formula>
    </cfRule>
    <cfRule type="expression" dxfId="8" priority="9">
      <formula>$G$297=_xlfn.IFS(O299&lt;&gt;0,O300,N299&lt;&gt;0,N300,M299&lt;&gt;0,M300,L299&lt;&gt;0,L300,K299&lt;&gt;0,K300,J299&lt;&gt;0,J300,I299&lt;&gt;0,I300,H299&lt;&gt;0,H300,G299&lt;&gt;0,G300)</formula>
    </cfRule>
  </conditionalFormatting>
  <conditionalFormatting sqref="E409">
    <cfRule type="expression" dxfId="7" priority="6">
      <formula>E409="Нет данных"</formula>
    </cfRule>
    <cfRule type="expression" dxfId="6" priority="7">
      <formula>E409="Нет"</formula>
    </cfRule>
  </conditionalFormatting>
  <conditionalFormatting sqref="G409">
    <cfRule type="expression" dxfId="5" priority="3">
      <formula>$E$403="Нет"</formula>
    </cfRule>
  </conditionalFormatting>
  <conditionalFormatting sqref="E327:E346">
    <cfRule type="expression" dxfId="4" priority="1">
      <formula>IF(E327=0,"Не амортизируется"," ")</formula>
    </cfRule>
  </conditionalFormatting>
  <dataValidations count="9">
    <dataValidation type="list" allowBlank="1" showInputMessage="1" showErrorMessage="1" sqref="C372">
      <formula1>"Общий,УСН, доходы,УСН, доходы-расходы,Другой"</formula1>
    </dataValidation>
    <dataValidation type="list" allowBlank="1" showInputMessage="1" showErrorMessage="1" sqref="C265:C275 C301:C320 E113">
      <formula1>"Да,Нет"</formula1>
    </dataValidation>
    <dataValidation type="list" allowBlank="1" showInputMessage="1" showErrorMessage="1" sqref="C357">
      <formula1>"ФРП,ФРМ,Другой фонд/институт"</formula1>
    </dataValidation>
    <dataValidation type="list" allowBlank="1" showInputMessage="1" showErrorMessage="1" sqref="C214 C225 C236">
      <formula1>"Есть льгота, Нет льготы"</formula1>
    </dataValidation>
    <dataValidation type="list" allowBlank="1" showInputMessage="1" showErrorMessage="1" sqref="C323">
      <formula1>"С инфляцией,Без инфляции"</formula1>
    </dataValidation>
    <dataValidation type="list" allowBlank="1" showInputMessage="1" showErrorMessage="1" sqref="C327:C346">
      <formula1>"Здания и сооружения,Инженерные сети,Оборудование,Транспорт,Дороги,НМА,Прочее,Не амортизируется"</formula1>
    </dataValidation>
    <dataValidation type="list" allowBlank="1" showInputMessage="1" showErrorMessage="1" sqref="G207 G218:G219 G229:G230">
      <formula1>"ЗУ не разграничен,Муниципалитет,Регион,Федерация,Частный собственник"</formula1>
    </dataValidation>
    <dataValidation type="list" allowBlank="1" showInputMessage="1" showErrorMessage="1" sqref="G215 G226 G237">
      <formula1>"1,2,3,4,5,6,7"</formula1>
    </dataValidation>
    <dataValidation type="list" allowBlank="1" showInputMessage="1" showErrorMessage="1" sqref="H327:H346">
      <formula1>"1,2,3,4"</formula1>
    </dataValidation>
  </dataValidations>
  <hyperlinks>
    <hyperlink ref="G27" r:id="rId1"/>
    <hyperlink ref="B4" location="Предпосылки!B16" display="Общая информация"/>
    <hyperlink ref="B5" location="Предпосылки!B22" display="Макроэкономические предпосылки"/>
    <hyperlink ref="B6" location="Предпосылки!B31" display="Технические показатели"/>
    <hyperlink ref="B7" location="Предпосылки!B51" display="Выручка"/>
    <hyperlink ref="B8" location="Предпосылки!B79" display="Операционные расходы"/>
    <hyperlink ref="B10" location="Предпосылки!B264" display="Инвестиции"/>
    <hyperlink ref="B11" location="Предпосылки!B332" display="Финансирование"/>
    <hyperlink ref="B12" location="Предпосылки!B348" display="Налоговое окружение"/>
    <hyperlink ref="C192" r:id="rId2"/>
    <hyperlink ref="G393" r:id="rId3"/>
    <hyperlink ref="G394" r:id="rId4"/>
    <hyperlink ref="G392" r:id="rId5"/>
    <hyperlink ref="G391" r:id="rId6"/>
    <hyperlink ref="B9" location="Предпосылки!B248" display="Запасы, дебиторская и кредиторская задолженность"/>
    <hyperlink ref="B13" location="Предпосылки!B371" display="Предпосылки по расчету ставки дисконтирования"/>
    <hyperlink ref="B14" location="Предпосылки!B374" display="Проверка указанных данных"/>
  </hyperlinks>
  <pageMargins left="0.7" right="0.7" top="0.75" bottom="0.75" header="0.3" footer="0.3"/>
  <pageSetup paperSize="9" orientation="portrait" horizontalDpi="4294967295" verticalDpi="4294967295" r:id="rId7"/>
  <ignoredErrors>
    <ignoredError sqref="G372" unlockedFormula="1"/>
  </ignoredError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10" name="Option Button 1">
              <controlPr defaultSize="0" autoFill="0" autoLine="0" autoPict="0">
                <anchor moveWithCells="1">
                  <from>
                    <xdr:col>1</xdr:col>
                    <xdr:colOff>180975</xdr:colOff>
                    <xdr:row>387</xdr:row>
                    <xdr:rowOff>66675</xdr:rowOff>
                  </from>
                  <to>
                    <xdr:col>1</xdr:col>
                    <xdr:colOff>847725</xdr:colOff>
                    <xdr:row>388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1" name="Option Button 2">
              <controlPr defaultSize="0" autoFill="0" autoLine="0" autoPict="0">
                <anchor moveWithCells="1">
                  <from>
                    <xdr:col>1</xdr:col>
                    <xdr:colOff>180975</xdr:colOff>
                    <xdr:row>388</xdr:row>
                    <xdr:rowOff>66675</xdr:rowOff>
                  </from>
                  <to>
                    <xdr:col>1</xdr:col>
                    <xdr:colOff>1676400</xdr:colOff>
                    <xdr:row>389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9" sqref="E9"/>
    </sheetView>
  </sheetViews>
  <sheetFormatPr defaultRowHeight="15" x14ac:dyDescent="0.25"/>
  <cols>
    <col min="1" max="1" width="74.28515625" customWidth="1"/>
    <col min="2" max="2" width="49.140625" customWidth="1"/>
  </cols>
  <sheetData>
    <row r="1" spans="1:1" ht="16.5" thickBot="1" x14ac:dyDescent="0.3">
      <c r="A1" s="585" t="s">
        <v>550</v>
      </c>
    </row>
    <row r="2" spans="1:1" ht="16.5" thickBot="1" x14ac:dyDescent="0.3">
      <c r="A2" s="584"/>
    </row>
    <row r="3" spans="1:1" ht="48" thickBot="1" x14ac:dyDescent="0.3">
      <c r="A3" s="585" t="s">
        <v>549</v>
      </c>
    </row>
    <row r="5" spans="1:1" ht="34.5" customHeight="1" x14ac:dyDescent="0.25"/>
    <row r="6" spans="1:1" ht="32.25" customHeight="1" x14ac:dyDescent="0.25"/>
    <row r="7" spans="1:1" ht="48.75" customHeight="1" x14ac:dyDescent="0.25"/>
    <row r="9" spans="1:1" ht="40.5" customHeight="1" x14ac:dyDescent="0.25"/>
    <row r="13" spans="1:1" ht="41.25" customHeight="1" x14ac:dyDescent="0.25"/>
    <row r="14" spans="1:1" ht="48.75" customHeight="1" x14ac:dyDescent="0.25"/>
    <row r="15" spans="1:1" ht="47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232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0" sqref="F10"/>
    </sheetView>
  </sheetViews>
  <sheetFormatPr defaultColWidth="8.85546875" defaultRowHeight="15" x14ac:dyDescent="0.25"/>
  <cols>
    <col min="1" max="1" width="3.7109375" style="198" customWidth="1"/>
    <col min="2" max="2" width="61.28515625" style="223" customWidth="1"/>
    <col min="3" max="3" width="2.140625" style="7" customWidth="1"/>
    <col min="4" max="4" width="16.42578125" style="5" customWidth="1"/>
    <col min="5" max="5" width="10.28515625" style="7" customWidth="1"/>
    <col min="6" max="6" width="9.7109375" style="7" customWidth="1"/>
    <col min="7" max="7" width="9.140625" style="7" customWidth="1"/>
    <col min="8" max="8" width="10.140625" style="7" customWidth="1"/>
    <col min="9" max="9" width="9.28515625" style="7" customWidth="1"/>
    <col min="10" max="10" width="9.7109375" style="7" customWidth="1"/>
    <col min="11" max="11" width="9.85546875" style="7" customWidth="1"/>
    <col min="12" max="12" width="9.28515625" style="7" customWidth="1"/>
    <col min="13" max="13" width="9.85546875" style="7" customWidth="1"/>
    <col min="14" max="14" width="10.140625" style="7" customWidth="1"/>
    <col min="15" max="15" width="10.42578125" customWidth="1"/>
  </cols>
  <sheetData>
    <row r="1" spans="1:23" x14ac:dyDescent="0.25">
      <c r="B1" s="375"/>
      <c r="C1" s="3"/>
      <c r="D1" s="2" t="s">
        <v>52</v>
      </c>
      <c r="E1" s="2">
        <f>Предпосылки!G24</f>
        <v>2022</v>
      </c>
      <c r="F1" s="2">
        <f>Предпосылки!H24</f>
        <v>2023</v>
      </c>
      <c r="G1" s="2">
        <f>Предпосылки!I24</f>
        <v>2024</v>
      </c>
      <c r="H1" s="2">
        <f>Предпосылки!J24</f>
        <v>2025</v>
      </c>
      <c r="I1" s="2">
        <f>Предпосылки!K24</f>
        <v>2026</v>
      </c>
      <c r="J1" s="2">
        <f>Предпосылки!L24</f>
        <v>2027</v>
      </c>
      <c r="K1" s="2">
        <f>Предпосылки!M24</f>
        <v>2028</v>
      </c>
      <c r="L1" s="2">
        <f>Предпосылки!N24</f>
        <v>2029</v>
      </c>
      <c r="M1" s="2">
        <f>Предпосылки!O24</f>
        <v>2030</v>
      </c>
      <c r="N1" s="2">
        <f>Предпосылки!P24</f>
        <v>2031</v>
      </c>
      <c r="O1" s="2" t="s">
        <v>6</v>
      </c>
      <c r="P1" s="2"/>
      <c r="Q1" s="2"/>
      <c r="R1" s="2"/>
      <c r="S1" s="2"/>
      <c r="T1" s="2"/>
      <c r="U1" s="2"/>
      <c r="V1" s="2"/>
      <c r="W1" s="2"/>
    </row>
    <row r="2" spans="1:23" x14ac:dyDescent="0.25">
      <c r="C2" s="3"/>
      <c r="D2" s="2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B3" s="223" t="s">
        <v>53</v>
      </c>
      <c r="D3" s="5" t="s">
        <v>14</v>
      </c>
      <c r="E3" s="8">
        <f>100%*(1+Предпосылки!G25/2)</f>
        <v>1.085</v>
      </c>
      <c r="F3" s="8">
        <f>E3*(1+Предпосылки!H25)</f>
        <v>1.1576949999999999</v>
      </c>
      <c r="G3" s="8">
        <f>F3*(1+Предпосылки!I25)</f>
        <v>1.2155797500000001</v>
      </c>
      <c r="H3" s="8">
        <f>G3*(1+Предпосылки!J25)</f>
        <v>1.2642029400000001</v>
      </c>
      <c r="I3" s="8">
        <f>H3*(1+Предпосылки!K25)</f>
        <v>1.3147710576000002</v>
      </c>
      <c r="J3" s="8">
        <f>I3*(1+Предпосылки!L25)</f>
        <v>1.3673618999040003</v>
      </c>
      <c r="K3" s="8">
        <f>J3*(1+Предпосылки!M25)</f>
        <v>1.4220563759001603</v>
      </c>
      <c r="L3" s="8">
        <f>K3*(1+Предпосылки!N25)</f>
        <v>1.4789386309361667</v>
      </c>
      <c r="M3" s="8">
        <f>L3*(1+Предпосылки!O25)</f>
        <v>1.5380961761736134</v>
      </c>
      <c r="N3" s="8">
        <f>M3*(1+Предпосылки!P25)</f>
        <v>1.599620023220558</v>
      </c>
    </row>
    <row r="4" spans="1:23" x14ac:dyDescent="0.25">
      <c r="B4" s="242" t="s">
        <v>54</v>
      </c>
      <c r="D4" s="5" t="s">
        <v>14</v>
      </c>
      <c r="E4" s="8">
        <f>100%*(1+Предпосылки!G26/2)</f>
        <v>1.05</v>
      </c>
      <c r="F4" s="8">
        <f>E4*(1+Предпосылки!H26)</f>
        <v>1.1235000000000002</v>
      </c>
      <c r="G4" s="8">
        <f>F4*(1+Предпосылки!I26)</f>
        <v>1.1987745000000001</v>
      </c>
      <c r="H4" s="8">
        <f>G4*(1+Предпосылки!J26)</f>
        <v>1.2730985190000002</v>
      </c>
      <c r="I4" s="8">
        <f>H4*(1+Предпосылки!K26)</f>
        <v>1.3240224597600001</v>
      </c>
      <c r="J4" s="8">
        <f>I4*(1+Предпосылки!L26)</f>
        <v>1.3769833581504001</v>
      </c>
      <c r="K4" s="8">
        <f>J4*(1+Предпосылки!M26)</f>
        <v>1.4320626924764162</v>
      </c>
      <c r="L4" s="8">
        <f>K4*(1+Предпосылки!N26)</f>
        <v>1.4893452001754728</v>
      </c>
      <c r="M4" s="8">
        <f>L4*(1+Предпосылки!O26)</f>
        <v>1.5489190081824917</v>
      </c>
      <c r="N4" s="8">
        <f>M4*(1+Предпосылки!P26)</f>
        <v>1.6108757685097914</v>
      </c>
    </row>
    <row r="5" spans="1:23" x14ac:dyDescent="0.25">
      <c r="B5" s="242" t="s">
        <v>213</v>
      </c>
      <c r="D5" s="5" t="s">
        <v>14</v>
      </c>
      <c r="E5" s="366">
        <v>1</v>
      </c>
      <c r="F5" s="366">
        <f>E5</f>
        <v>1</v>
      </c>
      <c r="G5" s="366">
        <f t="shared" ref="G5:H5" si="0">F5</f>
        <v>1</v>
      </c>
      <c r="H5" s="366">
        <f t="shared" si="0"/>
        <v>1</v>
      </c>
      <c r="I5" s="366">
        <f>H5*(1+Предпосылки!G29)</f>
        <v>1.03</v>
      </c>
      <c r="J5" s="366">
        <f>I5</f>
        <v>1.03</v>
      </c>
      <c r="K5" s="366">
        <f t="shared" ref="K5:L5" si="1">J5</f>
        <v>1.03</v>
      </c>
      <c r="L5" s="366">
        <f t="shared" si="1"/>
        <v>1.03</v>
      </c>
      <c r="M5" s="366">
        <f>L5*(1+Предпосылки!G29)</f>
        <v>1.0609</v>
      </c>
      <c r="N5" s="366">
        <f>M5</f>
        <v>1.0609</v>
      </c>
    </row>
    <row r="6" spans="1:23" x14ac:dyDescent="0.25">
      <c r="E6" s="9"/>
      <c r="F6" s="9"/>
      <c r="G6" s="9"/>
      <c r="H6" s="9"/>
      <c r="I6" s="9"/>
      <c r="J6" s="9"/>
      <c r="K6" s="9"/>
      <c r="L6" s="9"/>
      <c r="M6" s="9"/>
      <c r="N6" s="9"/>
    </row>
    <row r="7" spans="1:23" x14ac:dyDescent="0.25">
      <c r="B7" s="376" t="s">
        <v>24</v>
      </c>
      <c r="D7" s="190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9" spans="1:23" x14ac:dyDescent="0.25">
      <c r="B9" s="162" t="s">
        <v>162</v>
      </c>
      <c r="D9" s="188"/>
    </row>
    <row r="10" spans="1:23" x14ac:dyDescent="0.25">
      <c r="A10" s="199" t="s">
        <v>151</v>
      </c>
      <c r="B10" s="435" t="str">
        <f>Предпосылки!B41</f>
        <v>Овощи</v>
      </c>
      <c r="D10" s="437" t="str">
        <f>Предпосылки!E41</f>
        <v>т</v>
      </c>
      <c r="E10" s="10">
        <f>Предпосылки!G41</f>
        <v>0</v>
      </c>
      <c r="F10" s="10">
        <f>Предпосылки!H41</f>
        <v>4000</v>
      </c>
      <c r="G10" s="10">
        <f>Предпосылки!I41</f>
        <v>4300</v>
      </c>
      <c r="H10" s="10">
        <f>Предпосылки!J41</f>
        <v>4600</v>
      </c>
      <c r="I10" s="10">
        <f>Предпосылки!K41</f>
        <v>4900</v>
      </c>
      <c r="J10" s="10">
        <f>Предпосылки!L41</f>
        <v>5200</v>
      </c>
      <c r="K10" s="10">
        <f>Предпосылки!M41</f>
        <v>5500</v>
      </c>
      <c r="L10" s="10">
        <f>Предпосылки!N41</f>
        <v>5800</v>
      </c>
      <c r="M10" s="10">
        <f>Предпосылки!O41</f>
        <v>6100</v>
      </c>
      <c r="N10" s="10">
        <f>Предпосылки!P41</f>
        <v>6500</v>
      </c>
    </row>
    <row r="11" spans="1:23" x14ac:dyDescent="0.25">
      <c r="A11" s="199" t="s">
        <v>152</v>
      </c>
      <c r="B11" s="435">
        <f>Предпосылки!B42</f>
        <v>0</v>
      </c>
      <c r="D11" s="437">
        <f>Предпосылки!E42</f>
        <v>0</v>
      </c>
      <c r="E11" s="10">
        <f>Предпосылки!G42</f>
        <v>0</v>
      </c>
      <c r="F11" s="10">
        <f>Предпосылки!H42</f>
        <v>0</v>
      </c>
      <c r="G11" s="10">
        <f>Предпосылки!I42</f>
        <v>0</v>
      </c>
      <c r="H11" s="10">
        <f>Предпосылки!J42</f>
        <v>0</v>
      </c>
      <c r="I11" s="10">
        <f>Предпосылки!K42</f>
        <v>0</v>
      </c>
      <c r="J11" s="10">
        <f>Предпосылки!L42</f>
        <v>0</v>
      </c>
      <c r="K11" s="10">
        <f>Предпосылки!M42</f>
        <v>0</v>
      </c>
      <c r="L11" s="10">
        <f>Предпосылки!N42</f>
        <v>0</v>
      </c>
      <c r="M11" s="10">
        <f>Предпосылки!O42</f>
        <v>0</v>
      </c>
      <c r="N11" s="10">
        <f>Предпосылки!P42</f>
        <v>0</v>
      </c>
    </row>
    <row r="12" spans="1:23" x14ac:dyDescent="0.25">
      <c r="A12" s="199" t="s">
        <v>153</v>
      </c>
      <c r="B12" s="435">
        <f>Предпосылки!B43</f>
        <v>0</v>
      </c>
      <c r="D12" s="437">
        <f>Предпосылки!E43</f>
        <v>0</v>
      </c>
      <c r="E12" s="10">
        <f>Предпосылки!G43</f>
        <v>0</v>
      </c>
      <c r="F12" s="10">
        <f>Предпосылки!H43</f>
        <v>0</v>
      </c>
      <c r="G12" s="10">
        <f>Предпосылки!I43</f>
        <v>0</v>
      </c>
      <c r="H12" s="10">
        <f>Предпосылки!J43</f>
        <v>0</v>
      </c>
      <c r="I12" s="10">
        <f>Предпосылки!K43</f>
        <v>0</v>
      </c>
      <c r="J12" s="10">
        <f>Предпосылки!L43</f>
        <v>0</v>
      </c>
      <c r="K12" s="10">
        <f>Предпосылки!M43</f>
        <v>0</v>
      </c>
      <c r="L12" s="10">
        <f>Предпосылки!N43</f>
        <v>0</v>
      </c>
      <c r="M12" s="10">
        <f>Предпосылки!O43</f>
        <v>0</v>
      </c>
      <c r="N12" s="10">
        <f>Предпосылки!P43</f>
        <v>0</v>
      </c>
    </row>
    <row r="13" spans="1:23" x14ac:dyDescent="0.25">
      <c r="A13" s="199" t="s">
        <v>154</v>
      </c>
      <c r="B13" s="435">
        <f>Предпосылки!B44</f>
        <v>0</v>
      </c>
      <c r="D13" s="437">
        <f>Предпосылки!E44</f>
        <v>0</v>
      </c>
      <c r="E13" s="10">
        <f>Предпосылки!G44</f>
        <v>0</v>
      </c>
      <c r="F13" s="10">
        <f>Предпосылки!H44</f>
        <v>0</v>
      </c>
      <c r="G13" s="10">
        <f>Предпосылки!I44</f>
        <v>0</v>
      </c>
      <c r="H13" s="10">
        <f>Предпосылки!J44</f>
        <v>0</v>
      </c>
      <c r="I13" s="10">
        <f>Предпосылки!K44</f>
        <v>0</v>
      </c>
      <c r="J13" s="10">
        <f>Предпосылки!L44</f>
        <v>0</v>
      </c>
      <c r="K13" s="10">
        <f>Предпосылки!M44</f>
        <v>0</v>
      </c>
      <c r="L13" s="10">
        <f>Предпосылки!N44</f>
        <v>0</v>
      </c>
      <c r="M13" s="10">
        <f>Предпосылки!O44</f>
        <v>0</v>
      </c>
      <c r="N13" s="10">
        <f>Предпосылки!P44</f>
        <v>0</v>
      </c>
    </row>
    <row r="14" spans="1:23" x14ac:dyDescent="0.25">
      <c r="A14" s="199" t="s">
        <v>155</v>
      </c>
      <c r="B14" s="435">
        <f>Предпосылки!B45</f>
        <v>0</v>
      </c>
      <c r="D14" s="437">
        <f>Предпосылки!E45</f>
        <v>0</v>
      </c>
      <c r="E14" s="10">
        <f>Предпосылки!G45</f>
        <v>0</v>
      </c>
      <c r="F14" s="10">
        <f>Предпосылки!H45</f>
        <v>0</v>
      </c>
      <c r="G14" s="10">
        <f>Предпосылки!I45</f>
        <v>0</v>
      </c>
      <c r="H14" s="10">
        <f>Предпосылки!J45</f>
        <v>0</v>
      </c>
      <c r="I14" s="10">
        <f>Предпосылки!K45</f>
        <v>0</v>
      </c>
      <c r="J14" s="10">
        <f>Предпосылки!L45</f>
        <v>0</v>
      </c>
      <c r="K14" s="10">
        <f>Предпосылки!M45</f>
        <v>0</v>
      </c>
      <c r="L14" s="10">
        <f>Предпосылки!N45</f>
        <v>0</v>
      </c>
      <c r="M14" s="10">
        <f>Предпосылки!O45</f>
        <v>0</v>
      </c>
      <c r="N14" s="10">
        <f>Предпосылки!P45</f>
        <v>0</v>
      </c>
    </row>
    <row r="15" spans="1:23" x14ac:dyDescent="0.25">
      <c r="A15" s="199" t="s">
        <v>156</v>
      </c>
      <c r="B15" s="435">
        <f>Предпосылки!B46</f>
        <v>0</v>
      </c>
      <c r="D15" s="437">
        <f>Предпосылки!E46</f>
        <v>0</v>
      </c>
      <c r="E15" s="10">
        <f>Предпосылки!G46</f>
        <v>0</v>
      </c>
      <c r="F15" s="10">
        <f>Предпосылки!H46</f>
        <v>0</v>
      </c>
      <c r="G15" s="10">
        <f>Предпосылки!I46</f>
        <v>0</v>
      </c>
      <c r="H15" s="10">
        <f>Предпосылки!J46</f>
        <v>0</v>
      </c>
      <c r="I15" s="10">
        <f>Предпосылки!K46</f>
        <v>0</v>
      </c>
      <c r="J15" s="10">
        <f>Предпосылки!L46</f>
        <v>0</v>
      </c>
      <c r="K15" s="10">
        <f>Предпосылки!M46</f>
        <v>0</v>
      </c>
      <c r="L15" s="10">
        <f>Предпосылки!N46</f>
        <v>0</v>
      </c>
      <c r="M15" s="10">
        <f>Предпосылки!O46</f>
        <v>0</v>
      </c>
      <c r="N15" s="10">
        <f>Предпосылки!P46</f>
        <v>0</v>
      </c>
    </row>
    <row r="16" spans="1:23" x14ac:dyDescent="0.25">
      <c r="A16" s="199" t="s">
        <v>157</v>
      </c>
      <c r="B16" s="435">
        <f>Предпосылки!B47</f>
        <v>0</v>
      </c>
      <c r="D16" s="437">
        <f>Предпосылки!E47</f>
        <v>0</v>
      </c>
      <c r="E16" s="10">
        <f>Предпосылки!G47</f>
        <v>0</v>
      </c>
      <c r="F16" s="10">
        <f>Предпосылки!H47</f>
        <v>0</v>
      </c>
      <c r="G16" s="10">
        <f>Предпосылки!I47</f>
        <v>0</v>
      </c>
      <c r="H16" s="10">
        <f>Предпосылки!J47</f>
        <v>0</v>
      </c>
      <c r="I16" s="10">
        <f>Предпосылки!K47</f>
        <v>0</v>
      </c>
      <c r="J16" s="10">
        <f>Предпосылки!L47</f>
        <v>0</v>
      </c>
      <c r="K16" s="10">
        <f>Предпосылки!M47</f>
        <v>0</v>
      </c>
      <c r="L16" s="10">
        <f>Предпосылки!N47</f>
        <v>0</v>
      </c>
      <c r="M16" s="10">
        <f>Предпосылки!O47</f>
        <v>0</v>
      </c>
      <c r="N16" s="10">
        <f>Предпосылки!P47</f>
        <v>0</v>
      </c>
    </row>
    <row r="17" spans="1:14" x14ac:dyDescent="0.25">
      <c r="A17" s="199" t="s">
        <v>158</v>
      </c>
      <c r="B17" s="435">
        <f>Предпосылки!B48</f>
        <v>0</v>
      </c>
      <c r="D17" s="437">
        <f>Предпосылки!E48</f>
        <v>0</v>
      </c>
      <c r="E17" s="10">
        <f>Предпосылки!G48</f>
        <v>0</v>
      </c>
      <c r="F17" s="10">
        <f>Предпосылки!H48</f>
        <v>0</v>
      </c>
      <c r="G17" s="10">
        <f>Предпосылки!I48</f>
        <v>0</v>
      </c>
      <c r="H17" s="10">
        <f>Предпосылки!J48</f>
        <v>0</v>
      </c>
      <c r="I17" s="10">
        <f>Предпосылки!K48</f>
        <v>0</v>
      </c>
      <c r="J17" s="10">
        <f>Предпосылки!L48</f>
        <v>0</v>
      </c>
      <c r="K17" s="10">
        <f>Предпосылки!M48</f>
        <v>0</v>
      </c>
      <c r="L17" s="10">
        <f>Предпосылки!N48</f>
        <v>0</v>
      </c>
      <c r="M17" s="10">
        <f>Предпосылки!O48</f>
        <v>0</v>
      </c>
      <c r="N17" s="10">
        <f>Предпосылки!P48</f>
        <v>0</v>
      </c>
    </row>
    <row r="18" spans="1:14" x14ac:dyDescent="0.25">
      <c r="A18" s="199" t="s">
        <v>159</v>
      </c>
      <c r="B18" s="435">
        <f>Предпосылки!B49</f>
        <v>0</v>
      </c>
      <c r="D18" s="437">
        <f>Предпосылки!E49</f>
        <v>0</v>
      </c>
      <c r="E18" s="10">
        <f>Предпосылки!G49</f>
        <v>0</v>
      </c>
      <c r="F18" s="10">
        <f>Предпосылки!H49</f>
        <v>0</v>
      </c>
      <c r="G18" s="10">
        <f>Предпосылки!I49</f>
        <v>0</v>
      </c>
      <c r="H18" s="10">
        <f>Предпосылки!J49</f>
        <v>0</v>
      </c>
      <c r="I18" s="10">
        <f>Предпосылки!K49</f>
        <v>0</v>
      </c>
      <c r="J18" s="10">
        <f>Предпосылки!L49</f>
        <v>0</v>
      </c>
      <c r="K18" s="10">
        <f>Предпосылки!M49</f>
        <v>0</v>
      </c>
      <c r="L18" s="10">
        <f>Предпосылки!N49</f>
        <v>0</v>
      </c>
      <c r="M18" s="10">
        <f>Предпосылки!O49</f>
        <v>0</v>
      </c>
      <c r="N18" s="10">
        <f>Предпосылки!P49</f>
        <v>0</v>
      </c>
    </row>
    <row r="19" spans="1:14" x14ac:dyDescent="0.25">
      <c r="A19" s="199" t="s">
        <v>160</v>
      </c>
      <c r="B19" s="436">
        <f>Предпосылки!B50</f>
        <v>0</v>
      </c>
      <c r="C19" s="429"/>
      <c r="D19" s="438">
        <f>Предпосылки!E50</f>
        <v>0</v>
      </c>
      <c r="E19" s="10">
        <f>Предпосылки!G50</f>
        <v>0</v>
      </c>
      <c r="F19" s="10">
        <f>Предпосылки!H50</f>
        <v>0</v>
      </c>
      <c r="G19" s="10">
        <f>Предпосылки!I50</f>
        <v>0</v>
      </c>
      <c r="H19" s="10">
        <f>Предпосылки!J50</f>
        <v>0</v>
      </c>
      <c r="I19" s="10">
        <f>Предпосылки!K50</f>
        <v>0</v>
      </c>
      <c r="J19" s="10">
        <f>Предпосылки!L50</f>
        <v>0</v>
      </c>
      <c r="K19" s="10">
        <f>Предпосылки!M50</f>
        <v>0</v>
      </c>
      <c r="L19" s="10">
        <f>Предпосылки!N50</f>
        <v>0</v>
      </c>
      <c r="M19" s="10">
        <f>Предпосылки!O50</f>
        <v>0</v>
      </c>
      <c r="N19" s="10">
        <f>Предпосылки!P50</f>
        <v>0</v>
      </c>
    </row>
    <row r="20" spans="1:14" x14ac:dyDescent="0.25">
      <c r="D20" s="188"/>
    </row>
    <row r="21" spans="1:14" x14ac:dyDescent="0.25">
      <c r="B21" s="162" t="s">
        <v>164</v>
      </c>
      <c r="D21" s="188"/>
    </row>
    <row r="22" spans="1:14" x14ac:dyDescent="0.25">
      <c r="A22" s="198" t="s">
        <v>151</v>
      </c>
      <c r="B22" s="439" t="str">
        <f>Предпосылки!B54</f>
        <v>Овощи</v>
      </c>
      <c r="D22" s="188" t="str">
        <f>Предпосылки!E54</f>
        <v>тыс.руб./т</v>
      </c>
      <c r="E22" s="10">
        <f>Предпосылки!$G$54*E3</f>
        <v>43.4</v>
      </c>
      <c r="F22" s="10">
        <f>Предпосылки!$G$54*F3</f>
        <v>46.3078</v>
      </c>
      <c r="G22" s="10">
        <f>Предпосылки!$G$54*G3</f>
        <v>48.623190000000001</v>
      </c>
      <c r="H22" s="10">
        <f>Предпосылки!$G$54*H3</f>
        <v>50.568117600000008</v>
      </c>
      <c r="I22" s="10">
        <f>Предпосылки!$G$54*I3</f>
        <v>52.590842304000006</v>
      </c>
      <c r="J22" s="10">
        <f>Предпосылки!$G$54*J3</f>
        <v>54.694475996160008</v>
      </c>
      <c r="K22" s="10">
        <f>Предпосылки!$G$54*K3</f>
        <v>56.882255036006413</v>
      </c>
      <c r="L22" s="10">
        <f>Предпосылки!$G$54*L3</f>
        <v>59.157545237446669</v>
      </c>
      <c r="M22" s="10">
        <f>Предпосылки!$G$54*M3</f>
        <v>61.523847046944539</v>
      </c>
      <c r="N22" s="10">
        <f>Предпосылки!$G$54*N3</f>
        <v>63.984800928822317</v>
      </c>
    </row>
    <row r="23" spans="1:14" x14ac:dyDescent="0.25">
      <c r="A23" s="198" t="s">
        <v>152</v>
      </c>
      <c r="B23" s="439">
        <f>Предпосылки!B55</f>
        <v>0</v>
      </c>
      <c r="D23" s="188" t="str">
        <f>Предпосылки!E55</f>
        <v>тыс.руб./</v>
      </c>
      <c r="E23" s="10">
        <f>Предпосылки!$G$55*E3</f>
        <v>0</v>
      </c>
      <c r="F23" s="10">
        <f>Предпосылки!$G$55*F3</f>
        <v>0</v>
      </c>
      <c r="G23" s="10">
        <f>Предпосылки!$G$55*G3</f>
        <v>0</v>
      </c>
      <c r="H23" s="10">
        <f>Предпосылки!$G$55*H3</f>
        <v>0</v>
      </c>
      <c r="I23" s="10">
        <f>Предпосылки!$G$55*I3</f>
        <v>0</v>
      </c>
      <c r="J23" s="10">
        <f>Предпосылки!$G$55*J3</f>
        <v>0</v>
      </c>
      <c r="K23" s="10">
        <f>Предпосылки!$G$55*K3</f>
        <v>0</v>
      </c>
      <c r="L23" s="10">
        <f>Предпосылки!$G$55*L3</f>
        <v>0</v>
      </c>
      <c r="M23" s="10">
        <f>Предпосылки!$G$55*M3</f>
        <v>0</v>
      </c>
      <c r="N23" s="10">
        <f>Предпосылки!$G$55*N3</f>
        <v>0</v>
      </c>
    </row>
    <row r="24" spans="1:14" x14ac:dyDescent="0.25">
      <c r="A24" s="198" t="s">
        <v>153</v>
      </c>
      <c r="B24" s="439">
        <f>Предпосылки!B56</f>
        <v>0</v>
      </c>
      <c r="D24" s="188" t="str">
        <f>Предпосылки!E56</f>
        <v>тыс.руб./</v>
      </c>
      <c r="E24" s="10">
        <f>Предпосылки!$G$56*E3</f>
        <v>0</v>
      </c>
      <c r="F24" s="10">
        <f>Предпосылки!$G$56*F3</f>
        <v>0</v>
      </c>
      <c r="G24" s="10">
        <f>Предпосылки!$G$56*G3</f>
        <v>0</v>
      </c>
      <c r="H24" s="10">
        <f>Предпосылки!$G$56*H3</f>
        <v>0</v>
      </c>
      <c r="I24" s="10">
        <f>Предпосылки!$G$56*I3</f>
        <v>0</v>
      </c>
      <c r="J24" s="10">
        <f>Предпосылки!$G$56*J3</f>
        <v>0</v>
      </c>
      <c r="K24" s="10">
        <f>Предпосылки!$G$56*K3</f>
        <v>0</v>
      </c>
      <c r="L24" s="10">
        <f>Предпосылки!$G$56*L3</f>
        <v>0</v>
      </c>
      <c r="M24" s="10">
        <f>Предпосылки!$G$56*M3</f>
        <v>0</v>
      </c>
      <c r="N24" s="10">
        <f>Предпосылки!$G$56*N3</f>
        <v>0</v>
      </c>
    </row>
    <row r="25" spans="1:14" x14ac:dyDescent="0.25">
      <c r="A25" s="198" t="s">
        <v>154</v>
      </c>
      <c r="B25" s="439">
        <f>Предпосылки!B57</f>
        <v>0</v>
      </c>
      <c r="D25" s="188" t="str">
        <f>Предпосылки!E57</f>
        <v>тыс.руб./</v>
      </c>
      <c r="E25" s="10">
        <f>Предпосылки!$G$57*E3</f>
        <v>0</v>
      </c>
      <c r="F25" s="10">
        <f>Предпосылки!$G$57*F3</f>
        <v>0</v>
      </c>
      <c r="G25" s="10">
        <f>Предпосылки!$G$57*G3</f>
        <v>0</v>
      </c>
      <c r="H25" s="10">
        <f>Предпосылки!$G$57*H3</f>
        <v>0</v>
      </c>
      <c r="I25" s="10">
        <f>Предпосылки!$G$57*I3</f>
        <v>0</v>
      </c>
      <c r="J25" s="10">
        <f>Предпосылки!$G$57*J3</f>
        <v>0</v>
      </c>
      <c r="K25" s="10">
        <f>Предпосылки!$G$57*K3</f>
        <v>0</v>
      </c>
      <c r="L25" s="10">
        <f>Предпосылки!$G$57*L3</f>
        <v>0</v>
      </c>
      <c r="M25" s="10">
        <f>Предпосылки!$G$57*M3</f>
        <v>0</v>
      </c>
      <c r="N25" s="10">
        <f>Предпосылки!$G$57*N3</f>
        <v>0</v>
      </c>
    </row>
    <row r="26" spans="1:14" x14ac:dyDescent="0.25">
      <c r="A26" s="198" t="s">
        <v>155</v>
      </c>
      <c r="B26" s="439">
        <f>Предпосылки!B58</f>
        <v>0</v>
      </c>
      <c r="D26" s="188" t="str">
        <f>Предпосылки!E58</f>
        <v>тыс.руб./</v>
      </c>
      <c r="E26" s="10">
        <f>Предпосылки!$G$58*E3</f>
        <v>0</v>
      </c>
      <c r="F26" s="10">
        <f>Предпосылки!$G$58*F3</f>
        <v>0</v>
      </c>
      <c r="G26" s="10">
        <f>Предпосылки!$G$58*G3</f>
        <v>0</v>
      </c>
      <c r="H26" s="10">
        <f>Предпосылки!$G$58*H3</f>
        <v>0</v>
      </c>
      <c r="I26" s="10">
        <f>Предпосылки!$G$58*I3</f>
        <v>0</v>
      </c>
      <c r="J26" s="10">
        <f>Предпосылки!$G$58*J3</f>
        <v>0</v>
      </c>
      <c r="K26" s="10">
        <f>Предпосылки!$G$58*K3</f>
        <v>0</v>
      </c>
      <c r="L26" s="10">
        <f>Предпосылки!$G$58*L3</f>
        <v>0</v>
      </c>
      <c r="M26" s="10">
        <f>Предпосылки!$G$58*M3</f>
        <v>0</v>
      </c>
      <c r="N26" s="10">
        <f>Предпосылки!$G$58*N3</f>
        <v>0</v>
      </c>
    </row>
    <row r="27" spans="1:14" x14ac:dyDescent="0.25">
      <c r="A27" s="198" t="s">
        <v>156</v>
      </c>
      <c r="B27" s="439">
        <f>Предпосылки!B59</f>
        <v>0</v>
      </c>
      <c r="D27" s="188" t="str">
        <f>Предпосылки!E59</f>
        <v>тыс.руб./</v>
      </c>
      <c r="E27" s="10">
        <f>Предпосылки!$G$59*E3</f>
        <v>0</v>
      </c>
      <c r="F27" s="10">
        <f>Предпосылки!$G$59*F3</f>
        <v>0</v>
      </c>
      <c r="G27" s="10">
        <f>Предпосылки!$G$59*G3</f>
        <v>0</v>
      </c>
      <c r="H27" s="10">
        <f>Предпосылки!$G$59*H3</f>
        <v>0</v>
      </c>
      <c r="I27" s="10">
        <f>Предпосылки!$G$59*I3</f>
        <v>0</v>
      </c>
      <c r="J27" s="10">
        <f>Предпосылки!$G$59*J3</f>
        <v>0</v>
      </c>
      <c r="K27" s="10">
        <f>Предпосылки!$G$59*K3</f>
        <v>0</v>
      </c>
      <c r="L27" s="10">
        <f>Предпосылки!$G$59*L3</f>
        <v>0</v>
      </c>
      <c r="M27" s="10">
        <f>Предпосылки!$G$59*M3</f>
        <v>0</v>
      </c>
      <c r="N27" s="10">
        <f>Предпосылки!$G$59*N3</f>
        <v>0</v>
      </c>
    </row>
    <row r="28" spans="1:14" x14ac:dyDescent="0.25">
      <c r="A28" s="198" t="s">
        <v>157</v>
      </c>
      <c r="B28" s="439">
        <f>Предпосылки!B60</f>
        <v>0</v>
      </c>
      <c r="D28" s="188" t="str">
        <f>Предпосылки!E60</f>
        <v>тыс.руб./</v>
      </c>
      <c r="E28" s="10">
        <f>Предпосылки!$G$60*E3</f>
        <v>0</v>
      </c>
      <c r="F28" s="10">
        <f>Предпосылки!$G$60*F3</f>
        <v>0</v>
      </c>
      <c r="G28" s="10">
        <f>Предпосылки!$G$60*G3</f>
        <v>0</v>
      </c>
      <c r="H28" s="10">
        <f>Предпосылки!$G$60*H3</f>
        <v>0</v>
      </c>
      <c r="I28" s="10">
        <f>Предпосылки!$G$60*I3</f>
        <v>0</v>
      </c>
      <c r="J28" s="10">
        <f>Предпосылки!$G$60*J3</f>
        <v>0</v>
      </c>
      <c r="K28" s="10">
        <f>Предпосылки!$G$60*K3</f>
        <v>0</v>
      </c>
      <c r="L28" s="10">
        <f>Предпосылки!$G$60*L3</f>
        <v>0</v>
      </c>
      <c r="M28" s="10">
        <f>Предпосылки!$G$60*M3</f>
        <v>0</v>
      </c>
      <c r="N28" s="10">
        <f>Предпосылки!$G$60*N3</f>
        <v>0</v>
      </c>
    </row>
    <row r="29" spans="1:14" x14ac:dyDescent="0.25">
      <c r="A29" s="198" t="s">
        <v>158</v>
      </c>
      <c r="B29" s="439">
        <f>Предпосылки!B61</f>
        <v>0</v>
      </c>
      <c r="D29" s="188" t="str">
        <f>Предпосылки!E61</f>
        <v>тыс.руб./</v>
      </c>
      <c r="E29" s="10">
        <f>Предпосылки!$G$61*E3</f>
        <v>0</v>
      </c>
      <c r="F29" s="10">
        <f>Предпосылки!$G$61*F3</f>
        <v>0</v>
      </c>
      <c r="G29" s="10">
        <f>Предпосылки!$G$61*G3</f>
        <v>0</v>
      </c>
      <c r="H29" s="10">
        <f>Предпосылки!$G$61*H3</f>
        <v>0</v>
      </c>
      <c r="I29" s="10">
        <f>Предпосылки!$G$61*I3</f>
        <v>0</v>
      </c>
      <c r="J29" s="10">
        <f>Предпосылки!$G$61*J3</f>
        <v>0</v>
      </c>
      <c r="K29" s="10">
        <f>Предпосылки!$G$61*K3</f>
        <v>0</v>
      </c>
      <c r="L29" s="10">
        <f>Предпосылки!$G$61*L3</f>
        <v>0</v>
      </c>
      <c r="M29" s="10">
        <f>Предпосылки!$G$61*M3</f>
        <v>0</v>
      </c>
      <c r="N29" s="10">
        <f>Предпосылки!$G$61*N3</f>
        <v>0</v>
      </c>
    </row>
    <row r="30" spans="1:14" x14ac:dyDescent="0.25">
      <c r="A30" s="198" t="s">
        <v>159</v>
      </c>
      <c r="B30" s="439">
        <f>Предпосылки!B62</f>
        <v>0</v>
      </c>
      <c r="D30" s="188" t="str">
        <f>Предпосылки!E62</f>
        <v>тыс.руб./</v>
      </c>
      <c r="E30" s="10">
        <f>Предпосылки!$G$62*E3</f>
        <v>0</v>
      </c>
      <c r="F30" s="10">
        <f>Предпосылки!$G$62*F3</f>
        <v>0</v>
      </c>
      <c r="G30" s="10">
        <f>Предпосылки!$G$62*G3</f>
        <v>0</v>
      </c>
      <c r="H30" s="10">
        <f>Предпосылки!$G$62*H3</f>
        <v>0</v>
      </c>
      <c r="I30" s="10">
        <f>Предпосылки!$G$62*I3</f>
        <v>0</v>
      </c>
      <c r="J30" s="10">
        <f>Предпосылки!$G$62*J3</f>
        <v>0</v>
      </c>
      <c r="K30" s="10">
        <f>Предпосылки!$G$62*K3</f>
        <v>0</v>
      </c>
      <c r="L30" s="10">
        <f>Предпосылки!$G$62*L3</f>
        <v>0</v>
      </c>
      <c r="M30" s="10">
        <f>Предпосылки!$G$62*M3</f>
        <v>0</v>
      </c>
      <c r="N30" s="10">
        <f>Предпосылки!$G$62*N3</f>
        <v>0</v>
      </c>
    </row>
    <row r="31" spans="1:14" x14ac:dyDescent="0.25">
      <c r="A31" s="198" t="s">
        <v>160</v>
      </c>
      <c r="B31" s="439">
        <f>Предпосылки!B63</f>
        <v>0</v>
      </c>
      <c r="D31" s="188" t="str">
        <f>Предпосылки!E63</f>
        <v>тыс.руб./</v>
      </c>
      <c r="E31" s="10">
        <f>Предпосылки!$G$63*E3</f>
        <v>0</v>
      </c>
      <c r="F31" s="10">
        <f>Предпосылки!$G$63*F3</f>
        <v>0</v>
      </c>
      <c r="G31" s="10">
        <f>Предпосылки!$G$63*G3</f>
        <v>0</v>
      </c>
      <c r="H31" s="10">
        <f>Предпосылки!$G$63*H3</f>
        <v>0</v>
      </c>
      <c r="I31" s="10">
        <f>Предпосылки!$G$63*I3</f>
        <v>0</v>
      </c>
      <c r="J31" s="10">
        <f>Предпосылки!$G$63*J3</f>
        <v>0</v>
      </c>
      <c r="K31" s="10">
        <f>Предпосылки!$G$63*K3</f>
        <v>0</v>
      </c>
      <c r="L31" s="10">
        <f>Предпосылки!$G$63*L3</f>
        <v>0</v>
      </c>
      <c r="M31" s="10">
        <f>Предпосылки!$G$63*M3</f>
        <v>0</v>
      </c>
      <c r="N31" s="10">
        <f>Предпосылки!$G$63*N3</f>
        <v>0</v>
      </c>
    </row>
    <row r="32" spans="1:14" x14ac:dyDescent="0.25">
      <c r="D32" s="188"/>
    </row>
    <row r="33" spans="1:15" x14ac:dyDescent="0.25">
      <c r="B33" s="162" t="s">
        <v>24</v>
      </c>
      <c r="D33" s="188"/>
    </row>
    <row r="34" spans="1:15" x14ac:dyDescent="0.25">
      <c r="A34" s="198" t="s">
        <v>151</v>
      </c>
      <c r="B34" s="435" t="str">
        <f t="shared" ref="B34:B43" si="2">B10</f>
        <v>Овощи</v>
      </c>
      <c r="D34" s="188" t="s">
        <v>39</v>
      </c>
      <c r="E34" s="10">
        <f t="shared" ref="E34:N34" si="3">E10*E22</f>
        <v>0</v>
      </c>
      <c r="F34" s="10">
        <f t="shared" si="3"/>
        <v>185231.2</v>
      </c>
      <c r="G34" s="10">
        <f t="shared" si="3"/>
        <v>209079.717</v>
      </c>
      <c r="H34" s="10">
        <f t="shared" si="3"/>
        <v>232613.34096000003</v>
      </c>
      <c r="I34" s="10">
        <f t="shared" si="3"/>
        <v>257695.12728960003</v>
      </c>
      <c r="J34" s="10">
        <f t="shared" si="3"/>
        <v>284411.27518003207</v>
      </c>
      <c r="K34" s="10">
        <f t="shared" si="3"/>
        <v>312852.40269803529</v>
      </c>
      <c r="L34" s="10">
        <f t="shared" si="3"/>
        <v>343113.76237719069</v>
      </c>
      <c r="M34" s="10">
        <f t="shared" si="3"/>
        <v>375295.46698636166</v>
      </c>
      <c r="N34" s="10">
        <f t="shared" si="3"/>
        <v>415901.20603734505</v>
      </c>
      <c r="O34" s="270">
        <f t="shared" ref="O34:O44" si="4">SUM(E34:N34)</f>
        <v>2616193.4985285648</v>
      </c>
    </row>
    <row r="35" spans="1:15" x14ac:dyDescent="0.25">
      <c r="A35" s="198" t="s">
        <v>152</v>
      </c>
      <c r="B35" s="435">
        <f t="shared" si="2"/>
        <v>0</v>
      </c>
      <c r="D35" s="188" t="s">
        <v>39</v>
      </c>
      <c r="E35" s="10">
        <f t="shared" ref="E35:N35" si="5">E11*E23</f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 t="shared" si="5"/>
        <v>0</v>
      </c>
      <c r="O35" s="270">
        <f t="shared" si="4"/>
        <v>0</v>
      </c>
    </row>
    <row r="36" spans="1:15" x14ac:dyDescent="0.25">
      <c r="A36" s="198" t="s">
        <v>153</v>
      </c>
      <c r="B36" s="435">
        <f t="shared" si="2"/>
        <v>0</v>
      </c>
      <c r="D36" s="188" t="s">
        <v>39</v>
      </c>
      <c r="E36" s="10">
        <f t="shared" ref="E36:N36" si="6">E12*E24</f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  <c r="J36" s="10">
        <f t="shared" si="6"/>
        <v>0</v>
      </c>
      <c r="K36" s="10">
        <f t="shared" si="6"/>
        <v>0</v>
      </c>
      <c r="L36" s="10">
        <f t="shared" si="6"/>
        <v>0</v>
      </c>
      <c r="M36" s="10">
        <f t="shared" si="6"/>
        <v>0</v>
      </c>
      <c r="N36" s="10">
        <f t="shared" si="6"/>
        <v>0</v>
      </c>
      <c r="O36" s="270">
        <f t="shared" si="4"/>
        <v>0</v>
      </c>
    </row>
    <row r="37" spans="1:15" x14ac:dyDescent="0.25">
      <c r="A37" s="198" t="s">
        <v>154</v>
      </c>
      <c r="B37" s="435">
        <f t="shared" si="2"/>
        <v>0</v>
      </c>
      <c r="D37" s="188" t="s">
        <v>39</v>
      </c>
      <c r="E37" s="10">
        <f t="shared" ref="E37:N37" si="7">E13*E25</f>
        <v>0</v>
      </c>
      <c r="F37" s="10">
        <f t="shared" si="7"/>
        <v>0</v>
      </c>
      <c r="G37" s="10">
        <f t="shared" si="7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>
        <f t="shared" si="7"/>
        <v>0</v>
      </c>
      <c r="M37" s="10">
        <f t="shared" si="7"/>
        <v>0</v>
      </c>
      <c r="N37" s="10">
        <f t="shared" si="7"/>
        <v>0</v>
      </c>
      <c r="O37" s="270">
        <f t="shared" si="4"/>
        <v>0</v>
      </c>
    </row>
    <row r="38" spans="1:15" x14ac:dyDescent="0.25">
      <c r="A38" s="198" t="s">
        <v>155</v>
      </c>
      <c r="B38" s="435">
        <f t="shared" si="2"/>
        <v>0</v>
      </c>
      <c r="D38" s="188" t="s">
        <v>39</v>
      </c>
      <c r="E38" s="10">
        <f t="shared" ref="E38:N38" si="8">E14*E26</f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 t="shared" si="8"/>
        <v>0</v>
      </c>
      <c r="M38" s="10">
        <f t="shared" si="8"/>
        <v>0</v>
      </c>
      <c r="N38" s="10">
        <f t="shared" si="8"/>
        <v>0</v>
      </c>
      <c r="O38" s="270">
        <f t="shared" si="4"/>
        <v>0</v>
      </c>
    </row>
    <row r="39" spans="1:15" x14ac:dyDescent="0.25">
      <c r="A39" s="198" t="s">
        <v>156</v>
      </c>
      <c r="B39" s="435">
        <f t="shared" si="2"/>
        <v>0</v>
      </c>
      <c r="D39" s="188" t="s">
        <v>39</v>
      </c>
      <c r="E39" s="10">
        <f t="shared" ref="E39:N39" si="9">E15*E27</f>
        <v>0</v>
      </c>
      <c r="F39" s="10">
        <f t="shared" si="9"/>
        <v>0</v>
      </c>
      <c r="G39" s="10">
        <f t="shared" si="9"/>
        <v>0</v>
      </c>
      <c r="H39" s="10">
        <f t="shared" si="9"/>
        <v>0</v>
      </c>
      <c r="I39" s="10">
        <f t="shared" si="9"/>
        <v>0</v>
      </c>
      <c r="J39" s="10">
        <f t="shared" si="9"/>
        <v>0</v>
      </c>
      <c r="K39" s="10">
        <f t="shared" si="9"/>
        <v>0</v>
      </c>
      <c r="L39" s="10">
        <f t="shared" si="9"/>
        <v>0</v>
      </c>
      <c r="M39" s="10">
        <f t="shared" si="9"/>
        <v>0</v>
      </c>
      <c r="N39" s="10">
        <f t="shared" si="9"/>
        <v>0</v>
      </c>
      <c r="O39" s="270">
        <f t="shared" si="4"/>
        <v>0</v>
      </c>
    </row>
    <row r="40" spans="1:15" x14ac:dyDescent="0.25">
      <c r="A40" s="198" t="s">
        <v>157</v>
      </c>
      <c r="B40" s="435">
        <f t="shared" si="2"/>
        <v>0</v>
      </c>
      <c r="D40" s="188" t="s">
        <v>39</v>
      </c>
      <c r="E40" s="10">
        <f t="shared" ref="E40:N40" si="10">E16*E28</f>
        <v>0</v>
      </c>
      <c r="F40" s="10">
        <f t="shared" si="10"/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  <c r="O40" s="270">
        <f t="shared" si="4"/>
        <v>0</v>
      </c>
    </row>
    <row r="41" spans="1:15" x14ac:dyDescent="0.25">
      <c r="A41" s="198" t="s">
        <v>158</v>
      </c>
      <c r="B41" s="435">
        <f t="shared" si="2"/>
        <v>0</v>
      </c>
      <c r="D41" s="188" t="s">
        <v>39</v>
      </c>
      <c r="E41" s="10">
        <f t="shared" ref="E41:N41" si="11">E17*E29</f>
        <v>0</v>
      </c>
      <c r="F41" s="10">
        <f t="shared" si="11"/>
        <v>0</v>
      </c>
      <c r="G41" s="10">
        <f t="shared" si="11"/>
        <v>0</v>
      </c>
      <c r="H41" s="10">
        <f t="shared" si="11"/>
        <v>0</v>
      </c>
      <c r="I41" s="10">
        <f t="shared" si="11"/>
        <v>0</v>
      </c>
      <c r="J41" s="10">
        <f t="shared" si="11"/>
        <v>0</v>
      </c>
      <c r="K41" s="10">
        <f t="shared" si="11"/>
        <v>0</v>
      </c>
      <c r="L41" s="10">
        <f t="shared" si="11"/>
        <v>0</v>
      </c>
      <c r="M41" s="10">
        <f t="shared" si="11"/>
        <v>0</v>
      </c>
      <c r="N41" s="10">
        <f t="shared" si="11"/>
        <v>0</v>
      </c>
      <c r="O41" s="270">
        <f t="shared" si="4"/>
        <v>0</v>
      </c>
    </row>
    <row r="42" spans="1:15" x14ac:dyDescent="0.25">
      <c r="A42" s="198" t="s">
        <v>159</v>
      </c>
      <c r="B42" s="435">
        <f t="shared" si="2"/>
        <v>0</v>
      </c>
      <c r="D42" s="188" t="s">
        <v>39</v>
      </c>
      <c r="E42" s="10">
        <f t="shared" ref="E42:N42" si="12">E18*E30</f>
        <v>0</v>
      </c>
      <c r="F42" s="10">
        <f t="shared" si="12"/>
        <v>0</v>
      </c>
      <c r="G42" s="10">
        <f t="shared" si="12"/>
        <v>0</v>
      </c>
      <c r="H42" s="10">
        <f t="shared" si="12"/>
        <v>0</v>
      </c>
      <c r="I42" s="10">
        <f t="shared" si="12"/>
        <v>0</v>
      </c>
      <c r="J42" s="10">
        <f t="shared" si="12"/>
        <v>0</v>
      </c>
      <c r="K42" s="10">
        <f t="shared" si="12"/>
        <v>0</v>
      </c>
      <c r="L42" s="10">
        <f t="shared" si="12"/>
        <v>0</v>
      </c>
      <c r="M42" s="10">
        <f t="shared" si="12"/>
        <v>0</v>
      </c>
      <c r="N42" s="10">
        <f t="shared" si="12"/>
        <v>0</v>
      </c>
      <c r="O42" s="270">
        <f t="shared" si="4"/>
        <v>0</v>
      </c>
    </row>
    <row r="43" spans="1:15" x14ac:dyDescent="0.25">
      <c r="A43" s="198" t="s">
        <v>160</v>
      </c>
      <c r="B43" s="440">
        <f t="shared" si="2"/>
        <v>0</v>
      </c>
      <c r="C43" s="195"/>
      <c r="D43" s="196" t="s">
        <v>39</v>
      </c>
      <c r="E43" s="197">
        <f t="shared" ref="E43:N43" si="13">E19*E31</f>
        <v>0</v>
      </c>
      <c r="F43" s="197">
        <f t="shared" si="13"/>
        <v>0</v>
      </c>
      <c r="G43" s="197">
        <f t="shared" si="13"/>
        <v>0</v>
      </c>
      <c r="H43" s="197">
        <f t="shared" si="13"/>
        <v>0</v>
      </c>
      <c r="I43" s="197">
        <f t="shared" si="13"/>
        <v>0</v>
      </c>
      <c r="J43" s="197">
        <f t="shared" si="13"/>
        <v>0</v>
      </c>
      <c r="K43" s="197">
        <f t="shared" si="13"/>
        <v>0</v>
      </c>
      <c r="L43" s="197">
        <f t="shared" si="13"/>
        <v>0</v>
      </c>
      <c r="M43" s="197">
        <f t="shared" si="13"/>
        <v>0</v>
      </c>
      <c r="N43" s="197">
        <f t="shared" si="13"/>
        <v>0</v>
      </c>
      <c r="O43" s="337">
        <f t="shared" si="4"/>
        <v>0</v>
      </c>
    </row>
    <row r="44" spans="1:15" x14ac:dyDescent="0.25">
      <c r="A44" s="200"/>
      <c r="B44" s="377" t="s">
        <v>196</v>
      </c>
      <c r="C44" s="17"/>
      <c r="D44" s="15" t="s">
        <v>39</v>
      </c>
      <c r="E44" s="192">
        <f>SUM(E34:E43)</f>
        <v>0</v>
      </c>
      <c r="F44" s="192">
        <f t="shared" ref="F44:N44" si="14">SUM(F34:F43)</f>
        <v>185231.2</v>
      </c>
      <c r="G44" s="192">
        <f t="shared" si="14"/>
        <v>209079.717</v>
      </c>
      <c r="H44" s="192">
        <f t="shared" si="14"/>
        <v>232613.34096000003</v>
      </c>
      <c r="I44" s="192">
        <f t="shared" si="14"/>
        <v>257695.12728960003</v>
      </c>
      <c r="J44" s="192">
        <f t="shared" si="14"/>
        <v>284411.27518003207</v>
      </c>
      <c r="K44" s="192">
        <f t="shared" si="14"/>
        <v>312852.40269803529</v>
      </c>
      <c r="L44" s="192">
        <f t="shared" si="14"/>
        <v>343113.76237719069</v>
      </c>
      <c r="M44" s="192">
        <f t="shared" si="14"/>
        <v>375295.46698636166</v>
      </c>
      <c r="N44" s="192">
        <f t="shared" si="14"/>
        <v>415901.20603734505</v>
      </c>
      <c r="O44" s="338">
        <f t="shared" si="4"/>
        <v>2616193.4985285648</v>
      </c>
    </row>
    <row r="45" spans="1:15" x14ac:dyDescent="0.25">
      <c r="D45" s="188"/>
    </row>
    <row r="46" spans="1:15" x14ac:dyDescent="0.25">
      <c r="D46" s="188"/>
    </row>
    <row r="47" spans="1:15" x14ac:dyDescent="0.25">
      <c r="B47" s="376" t="s">
        <v>166</v>
      </c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</row>
    <row r="49" spans="1:14" x14ac:dyDescent="0.25">
      <c r="B49" s="164" t="s">
        <v>181</v>
      </c>
      <c r="D49" s="188"/>
    </row>
    <row r="50" spans="1:14" x14ac:dyDescent="0.25">
      <c r="A50" s="198" t="s">
        <v>151</v>
      </c>
      <c r="B50" s="435" t="str">
        <f>Предпосылки!B69</f>
        <v>Овощи</v>
      </c>
      <c r="D50" s="437" t="str">
        <f>Предпосылки!E69</f>
        <v>т</v>
      </c>
      <c r="E50" s="10">
        <f>Предпосылки!G69</f>
        <v>0</v>
      </c>
      <c r="F50" s="10">
        <f>Предпосылки!H69</f>
        <v>4000</v>
      </c>
      <c r="G50" s="10">
        <f>Предпосылки!I69</f>
        <v>4300</v>
      </c>
      <c r="H50" s="10">
        <f>Предпосылки!J69</f>
        <v>4600</v>
      </c>
      <c r="I50" s="10">
        <f>Предпосылки!K69</f>
        <v>4900</v>
      </c>
      <c r="J50" s="10">
        <f>Предпосылки!L69</f>
        <v>5200</v>
      </c>
      <c r="K50" s="10">
        <f>Предпосылки!M69</f>
        <v>5500</v>
      </c>
      <c r="L50" s="10">
        <f>Предпосылки!N69</f>
        <v>5800</v>
      </c>
      <c r="M50" s="10">
        <f>Предпосылки!O69</f>
        <v>6100</v>
      </c>
      <c r="N50" s="10">
        <f>Предпосылки!P69</f>
        <v>6500</v>
      </c>
    </row>
    <row r="51" spans="1:14" x14ac:dyDescent="0.25">
      <c r="A51" s="198" t="s">
        <v>152</v>
      </c>
      <c r="B51" s="435">
        <f>Предпосылки!B70</f>
        <v>0</v>
      </c>
      <c r="D51" s="437">
        <f>Предпосылки!E70</f>
        <v>0</v>
      </c>
      <c r="E51" s="10">
        <f>Предпосылки!G70</f>
        <v>0</v>
      </c>
      <c r="F51" s="10">
        <f>Предпосылки!H70</f>
        <v>0</v>
      </c>
      <c r="G51" s="10">
        <f>Предпосылки!I70</f>
        <v>0</v>
      </c>
      <c r="H51" s="10">
        <f>Предпосылки!J70</f>
        <v>0</v>
      </c>
      <c r="I51" s="10">
        <f>Предпосылки!K70</f>
        <v>0</v>
      </c>
      <c r="J51" s="10">
        <f>Предпосылки!L70</f>
        <v>0</v>
      </c>
      <c r="K51" s="10">
        <f>Предпосылки!M70</f>
        <v>0</v>
      </c>
      <c r="L51" s="10">
        <f>Предпосылки!N70</f>
        <v>0</v>
      </c>
      <c r="M51" s="10">
        <f>Предпосылки!O70</f>
        <v>0</v>
      </c>
      <c r="N51" s="10">
        <f>Предпосылки!P70</f>
        <v>0</v>
      </c>
    </row>
    <row r="52" spans="1:14" x14ac:dyDescent="0.25">
      <c r="A52" s="198" t="s">
        <v>153</v>
      </c>
      <c r="B52" s="435">
        <f>Предпосылки!B71</f>
        <v>0</v>
      </c>
      <c r="D52" s="437">
        <f>Предпосылки!E71</f>
        <v>0</v>
      </c>
      <c r="E52" s="10">
        <f>Предпосылки!G71</f>
        <v>0</v>
      </c>
      <c r="F52" s="10">
        <f>Предпосылки!H71</f>
        <v>0</v>
      </c>
      <c r="G52" s="10">
        <f>Предпосылки!I71</f>
        <v>0</v>
      </c>
      <c r="H52" s="10">
        <f>Предпосылки!J71</f>
        <v>0</v>
      </c>
      <c r="I52" s="10">
        <f>Предпосылки!K71</f>
        <v>0</v>
      </c>
      <c r="J52" s="10">
        <f>Предпосылки!L71</f>
        <v>0</v>
      </c>
      <c r="K52" s="10">
        <f>Предпосылки!M71</f>
        <v>0</v>
      </c>
      <c r="L52" s="10">
        <f>Предпосылки!N71</f>
        <v>0</v>
      </c>
      <c r="M52" s="10">
        <f>Предпосылки!O71</f>
        <v>0</v>
      </c>
      <c r="N52" s="10">
        <f>Предпосылки!P71</f>
        <v>0</v>
      </c>
    </row>
    <row r="53" spans="1:14" x14ac:dyDescent="0.25">
      <c r="A53" s="198" t="s">
        <v>154</v>
      </c>
      <c r="B53" s="435">
        <f>Предпосылки!B72</f>
        <v>0</v>
      </c>
      <c r="D53" s="437">
        <f>Предпосылки!E72</f>
        <v>0</v>
      </c>
      <c r="E53" s="10">
        <f>Предпосылки!G72</f>
        <v>0</v>
      </c>
      <c r="F53" s="10">
        <f>Предпосылки!H72</f>
        <v>0</v>
      </c>
      <c r="G53" s="10">
        <f>Предпосылки!I72</f>
        <v>0</v>
      </c>
      <c r="H53" s="10">
        <f>Предпосылки!J72</f>
        <v>0</v>
      </c>
      <c r="I53" s="10">
        <f>Предпосылки!K72</f>
        <v>0</v>
      </c>
      <c r="J53" s="10">
        <f>Предпосылки!L72</f>
        <v>0</v>
      </c>
      <c r="K53" s="10">
        <f>Предпосылки!M72</f>
        <v>0</v>
      </c>
      <c r="L53" s="10">
        <f>Предпосылки!N72</f>
        <v>0</v>
      </c>
      <c r="M53" s="10">
        <f>Предпосылки!O72</f>
        <v>0</v>
      </c>
      <c r="N53" s="10">
        <f>Предпосылки!P72</f>
        <v>0</v>
      </c>
    </row>
    <row r="54" spans="1:14" x14ac:dyDescent="0.25">
      <c r="A54" s="198" t="s">
        <v>155</v>
      </c>
      <c r="B54" s="435">
        <f>Предпосылки!B73</f>
        <v>0</v>
      </c>
      <c r="D54" s="437">
        <f>Предпосылки!E73</f>
        <v>0</v>
      </c>
      <c r="E54" s="10">
        <f>Предпосылки!G73</f>
        <v>0</v>
      </c>
      <c r="F54" s="10">
        <f>Предпосылки!H73</f>
        <v>0</v>
      </c>
      <c r="G54" s="10">
        <f>Предпосылки!I73</f>
        <v>0</v>
      </c>
      <c r="H54" s="10">
        <f>Предпосылки!J73</f>
        <v>0</v>
      </c>
      <c r="I54" s="10">
        <f>Предпосылки!K73</f>
        <v>0</v>
      </c>
      <c r="J54" s="10">
        <f>Предпосылки!L73</f>
        <v>0</v>
      </c>
      <c r="K54" s="10">
        <f>Предпосылки!M73</f>
        <v>0</v>
      </c>
      <c r="L54" s="10">
        <f>Предпосылки!N73</f>
        <v>0</v>
      </c>
      <c r="M54" s="10">
        <f>Предпосылки!O73</f>
        <v>0</v>
      </c>
      <c r="N54" s="10">
        <f>Предпосылки!P73</f>
        <v>0</v>
      </c>
    </row>
    <row r="55" spans="1:14" x14ac:dyDescent="0.25">
      <c r="A55" s="198" t="s">
        <v>156</v>
      </c>
      <c r="B55" s="435">
        <f>Предпосылки!B74</f>
        <v>0</v>
      </c>
      <c r="D55" s="437">
        <f>Предпосылки!E74</f>
        <v>0</v>
      </c>
      <c r="E55" s="10">
        <f>Предпосылки!G74</f>
        <v>0</v>
      </c>
      <c r="F55" s="10">
        <f>Предпосылки!H74</f>
        <v>0</v>
      </c>
      <c r="G55" s="10">
        <f>Предпосылки!I74</f>
        <v>0</v>
      </c>
      <c r="H55" s="10">
        <f>Предпосылки!J74</f>
        <v>0</v>
      </c>
      <c r="I55" s="10">
        <f>Предпосылки!K74</f>
        <v>0</v>
      </c>
      <c r="J55" s="10">
        <f>Предпосылки!L74</f>
        <v>0</v>
      </c>
      <c r="K55" s="10">
        <f>Предпосылки!M74</f>
        <v>0</v>
      </c>
      <c r="L55" s="10">
        <f>Предпосылки!N74</f>
        <v>0</v>
      </c>
      <c r="M55" s="10">
        <f>Предпосылки!O74</f>
        <v>0</v>
      </c>
      <c r="N55" s="10">
        <f>Предпосылки!P74</f>
        <v>0</v>
      </c>
    </row>
    <row r="56" spans="1:14" x14ac:dyDescent="0.25">
      <c r="A56" s="198" t="s">
        <v>157</v>
      </c>
      <c r="B56" s="435">
        <f>Предпосылки!B75</f>
        <v>0</v>
      </c>
      <c r="D56" s="437">
        <f>Предпосылки!E75</f>
        <v>0</v>
      </c>
      <c r="E56" s="10">
        <f>Предпосылки!G75</f>
        <v>0</v>
      </c>
      <c r="F56" s="10">
        <f>Предпосылки!H75</f>
        <v>0</v>
      </c>
      <c r="G56" s="10">
        <f>Предпосылки!I75</f>
        <v>0</v>
      </c>
      <c r="H56" s="10">
        <f>Предпосылки!J75</f>
        <v>0</v>
      </c>
      <c r="I56" s="10">
        <f>Предпосылки!K75</f>
        <v>0</v>
      </c>
      <c r="J56" s="10">
        <f>Предпосылки!L75</f>
        <v>0</v>
      </c>
      <c r="K56" s="10">
        <f>Предпосылки!M75</f>
        <v>0</v>
      </c>
      <c r="L56" s="10">
        <f>Предпосылки!N75</f>
        <v>0</v>
      </c>
      <c r="M56" s="10">
        <f>Предпосылки!O75</f>
        <v>0</v>
      </c>
      <c r="N56" s="10">
        <f>Предпосылки!P75</f>
        <v>0</v>
      </c>
    </row>
    <row r="57" spans="1:14" x14ac:dyDescent="0.25">
      <c r="A57" s="198" t="s">
        <v>158</v>
      </c>
      <c r="B57" s="435">
        <f>Предпосылки!B76</f>
        <v>0</v>
      </c>
      <c r="D57" s="437">
        <f>Предпосылки!E76</f>
        <v>0</v>
      </c>
      <c r="E57" s="10">
        <f>Предпосылки!G76</f>
        <v>0</v>
      </c>
      <c r="F57" s="10">
        <f>Предпосылки!H76</f>
        <v>0</v>
      </c>
      <c r="G57" s="10">
        <f>Предпосылки!I76</f>
        <v>0</v>
      </c>
      <c r="H57" s="10">
        <f>Предпосылки!J76</f>
        <v>0</v>
      </c>
      <c r="I57" s="10">
        <f>Предпосылки!K76</f>
        <v>0</v>
      </c>
      <c r="J57" s="10">
        <f>Предпосылки!L76</f>
        <v>0</v>
      </c>
      <c r="K57" s="10">
        <f>Предпосылки!M76</f>
        <v>0</v>
      </c>
      <c r="L57" s="10">
        <f>Предпосылки!N76</f>
        <v>0</v>
      </c>
      <c r="M57" s="10">
        <f>Предпосылки!O76</f>
        <v>0</v>
      </c>
      <c r="N57" s="10">
        <f>Предпосылки!P76</f>
        <v>0</v>
      </c>
    </row>
    <row r="58" spans="1:14" x14ac:dyDescent="0.25">
      <c r="A58" s="198" t="s">
        <v>159</v>
      </c>
      <c r="B58" s="435">
        <f>Предпосылки!B77</f>
        <v>0</v>
      </c>
      <c r="D58" s="437">
        <f>Предпосылки!E77</f>
        <v>0</v>
      </c>
      <c r="E58" s="10">
        <f>Предпосылки!G77</f>
        <v>0</v>
      </c>
      <c r="F58" s="10">
        <f>Предпосылки!H77</f>
        <v>0</v>
      </c>
      <c r="G58" s="10">
        <f>Предпосылки!I77</f>
        <v>0</v>
      </c>
      <c r="H58" s="10">
        <f>Предпосылки!J77</f>
        <v>0</v>
      </c>
      <c r="I58" s="10">
        <f>Предпосылки!K77</f>
        <v>0</v>
      </c>
      <c r="J58" s="10">
        <f>Предпосылки!L77</f>
        <v>0</v>
      </c>
      <c r="K58" s="10">
        <f>Предпосылки!M77</f>
        <v>0</v>
      </c>
      <c r="L58" s="10">
        <f>Предпосылки!N77</f>
        <v>0</v>
      </c>
      <c r="M58" s="10">
        <f>Предпосылки!O77</f>
        <v>0</v>
      </c>
      <c r="N58" s="10">
        <f>Предпосылки!P77</f>
        <v>0</v>
      </c>
    </row>
    <row r="59" spans="1:14" x14ac:dyDescent="0.25">
      <c r="A59" s="198" t="s">
        <v>160</v>
      </c>
      <c r="B59" s="435">
        <f>Предпосылки!B78</f>
        <v>0</v>
      </c>
      <c r="D59" s="437">
        <f>Предпосылки!E78</f>
        <v>0</v>
      </c>
      <c r="E59" s="10">
        <f>Предпосылки!G78</f>
        <v>0</v>
      </c>
      <c r="F59" s="10">
        <f>Предпосылки!H78</f>
        <v>0</v>
      </c>
      <c r="G59" s="10">
        <f>Предпосылки!I78</f>
        <v>0</v>
      </c>
      <c r="H59" s="10">
        <f>Предпосылки!J78</f>
        <v>0</v>
      </c>
      <c r="I59" s="10">
        <f>Предпосылки!K78</f>
        <v>0</v>
      </c>
      <c r="J59" s="10">
        <f>Предпосылки!L78</f>
        <v>0</v>
      </c>
      <c r="K59" s="10">
        <f>Предпосылки!M78</f>
        <v>0</v>
      </c>
      <c r="L59" s="10">
        <f>Предпосылки!N78</f>
        <v>0</v>
      </c>
      <c r="M59" s="10">
        <f>Предпосылки!O78</f>
        <v>0</v>
      </c>
      <c r="N59" s="10">
        <f>Предпосылки!P78</f>
        <v>0</v>
      </c>
    </row>
    <row r="60" spans="1:14" x14ac:dyDescent="0.25">
      <c r="D60" s="188"/>
    </row>
    <row r="61" spans="1:14" x14ac:dyDescent="0.25">
      <c r="B61" s="164" t="s">
        <v>215</v>
      </c>
      <c r="D61" s="188"/>
    </row>
    <row r="62" spans="1:14" x14ac:dyDescent="0.25">
      <c r="A62" s="198" t="s">
        <v>151</v>
      </c>
      <c r="B62" s="435" t="str">
        <f>Предпосылки!B82</f>
        <v xml:space="preserve">Овощи </v>
      </c>
      <c r="D62" s="188" t="str">
        <f>Предпосылки!E82</f>
        <v>тыс.руб./т</v>
      </c>
      <c r="E62" s="10">
        <f>Предпосылки!$G$82*E3</f>
        <v>21.7</v>
      </c>
      <c r="F62" s="10">
        <f>Предпосылки!$G$82*F3</f>
        <v>23.1539</v>
      </c>
      <c r="G62" s="10">
        <f>Предпосылки!$G$82*G3</f>
        <v>24.311595000000001</v>
      </c>
      <c r="H62" s="10">
        <f>Предпосылки!$G$82*H3</f>
        <v>25.284058800000004</v>
      </c>
      <c r="I62" s="10">
        <f>Предпосылки!$G$82*I3</f>
        <v>26.295421152000003</v>
      </c>
      <c r="J62" s="10">
        <f>Предпосылки!$G$82*J3</f>
        <v>27.347237998080004</v>
      </c>
      <c r="K62" s="10">
        <f>Предпосылки!$G$82*K3</f>
        <v>28.441127518003206</v>
      </c>
      <c r="L62" s="10">
        <f>Предпосылки!$G$82*L3</f>
        <v>29.578772618723335</v>
      </c>
      <c r="M62" s="10">
        <f>Предпосылки!$G$82*M3</f>
        <v>30.761923523472269</v>
      </c>
      <c r="N62" s="10">
        <f>Предпосылки!$G$82*N3</f>
        <v>31.992400464411158</v>
      </c>
    </row>
    <row r="63" spans="1:14" x14ac:dyDescent="0.25">
      <c r="A63" s="198" t="s">
        <v>152</v>
      </c>
      <c r="B63" s="435">
        <f>Предпосылки!B83</f>
        <v>0</v>
      </c>
      <c r="D63" s="188">
        <f>Предпосылки!E83</f>
        <v>0</v>
      </c>
      <c r="E63" s="10">
        <f>Предпосылки!$G$83*E3</f>
        <v>0</v>
      </c>
      <c r="F63" s="10">
        <f>Предпосылки!$G$83*F3</f>
        <v>0</v>
      </c>
      <c r="G63" s="10">
        <f>Предпосылки!$G$83*G3</f>
        <v>0</v>
      </c>
      <c r="H63" s="10">
        <f>Предпосылки!$G$83*H3</f>
        <v>0</v>
      </c>
      <c r="I63" s="10">
        <f>Предпосылки!$G$83*I3</f>
        <v>0</v>
      </c>
      <c r="J63" s="10">
        <f>Предпосылки!$G$83*J3</f>
        <v>0</v>
      </c>
      <c r="K63" s="10">
        <f>Предпосылки!$G$83*K3</f>
        <v>0</v>
      </c>
      <c r="L63" s="10">
        <f>Предпосылки!$G$83*L3</f>
        <v>0</v>
      </c>
      <c r="M63" s="10">
        <f>Предпосылки!$G$83*M3</f>
        <v>0</v>
      </c>
      <c r="N63" s="10">
        <f>Предпосылки!$G$83*N3</f>
        <v>0</v>
      </c>
    </row>
    <row r="64" spans="1:14" x14ac:dyDescent="0.25">
      <c r="A64" s="198" t="s">
        <v>153</v>
      </c>
      <c r="B64" s="435">
        <f>Предпосылки!B84</f>
        <v>0</v>
      </c>
      <c r="D64" s="188">
        <f>Предпосылки!E84</f>
        <v>0</v>
      </c>
      <c r="E64" s="10">
        <f>Предпосылки!$G$84*E3</f>
        <v>0</v>
      </c>
      <c r="F64" s="10">
        <f>Предпосылки!$G$84*F3</f>
        <v>0</v>
      </c>
      <c r="G64" s="10">
        <f>Предпосылки!$G$84*G3</f>
        <v>0</v>
      </c>
      <c r="H64" s="10">
        <f>Предпосылки!$G$84*H3</f>
        <v>0</v>
      </c>
      <c r="I64" s="10">
        <f>Предпосылки!$G$84*I3</f>
        <v>0</v>
      </c>
      <c r="J64" s="10">
        <f>Предпосылки!$G$84*J3</f>
        <v>0</v>
      </c>
      <c r="K64" s="10">
        <f>Предпосылки!$G$84*K3</f>
        <v>0</v>
      </c>
      <c r="L64" s="10">
        <f>Предпосылки!$G$84*L3</f>
        <v>0</v>
      </c>
      <c r="M64" s="10">
        <f>Предпосылки!$G$84*M3</f>
        <v>0</v>
      </c>
      <c r="N64" s="10">
        <f>Предпосылки!$G$84*N3</f>
        <v>0</v>
      </c>
    </row>
    <row r="65" spans="1:15" x14ac:dyDescent="0.25">
      <c r="A65" s="198" t="s">
        <v>154</v>
      </c>
      <c r="B65" s="435">
        <f>Предпосылки!B85</f>
        <v>0</v>
      </c>
      <c r="D65" s="188" t="str">
        <f>Предпосылки!E85</f>
        <v>тыс.руб./</v>
      </c>
      <c r="E65" s="10">
        <f>Предпосылки!$G$85*E3</f>
        <v>0</v>
      </c>
      <c r="F65" s="10">
        <f>Предпосылки!$G$85*F3</f>
        <v>0</v>
      </c>
      <c r="G65" s="10">
        <f>Предпосылки!$G$85*G3</f>
        <v>0</v>
      </c>
      <c r="H65" s="10">
        <f>Предпосылки!$G$85*H3</f>
        <v>0</v>
      </c>
      <c r="I65" s="10">
        <f>Предпосылки!$G$85*I3</f>
        <v>0</v>
      </c>
      <c r="J65" s="10">
        <f>Предпосылки!$G$85*J3</f>
        <v>0</v>
      </c>
      <c r="K65" s="10">
        <f>Предпосылки!$G$85*K3</f>
        <v>0</v>
      </c>
      <c r="L65" s="10">
        <f>Предпосылки!$G$85*L3</f>
        <v>0</v>
      </c>
      <c r="M65" s="10">
        <f>Предпосылки!$G$85*M3</f>
        <v>0</v>
      </c>
      <c r="N65" s="10">
        <f>Предпосылки!$G$85*N3</f>
        <v>0</v>
      </c>
    </row>
    <row r="66" spans="1:15" x14ac:dyDescent="0.25">
      <c r="A66" s="198" t="s">
        <v>155</v>
      </c>
      <c r="B66" s="435">
        <f>Предпосылки!B86</f>
        <v>0</v>
      </c>
      <c r="D66" s="188" t="str">
        <f>Предпосылки!E86</f>
        <v>тыс.руб./</v>
      </c>
      <c r="E66" s="10">
        <f>Предпосылки!$G$86*E3</f>
        <v>0</v>
      </c>
      <c r="F66" s="10">
        <f>Предпосылки!$G$86*F3</f>
        <v>0</v>
      </c>
      <c r="G66" s="10">
        <f>Предпосылки!$G$86*G3</f>
        <v>0</v>
      </c>
      <c r="H66" s="10">
        <f>Предпосылки!$G$86*H3</f>
        <v>0</v>
      </c>
      <c r="I66" s="10">
        <f>Предпосылки!$G$86*I3</f>
        <v>0</v>
      </c>
      <c r="J66" s="10">
        <f>Предпосылки!$G$86*J3</f>
        <v>0</v>
      </c>
      <c r="K66" s="10">
        <f>Предпосылки!$G$86*K3</f>
        <v>0</v>
      </c>
      <c r="L66" s="10">
        <f>Предпосылки!$G$86*L3</f>
        <v>0</v>
      </c>
      <c r="M66" s="10">
        <f>Предпосылки!$G$86*M3</f>
        <v>0</v>
      </c>
      <c r="N66" s="10">
        <f>Предпосылки!$G$86*N3</f>
        <v>0</v>
      </c>
    </row>
    <row r="67" spans="1:15" x14ac:dyDescent="0.25">
      <c r="A67" s="198" t="s">
        <v>156</v>
      </c>
      <c r="B67" s="435">
        <f>Предпосылки!B87</f>
        <v>0</v>
      </c>
      <c r="D67" s="188" t="str">
        <f>Предпосылки!E87</f>
        <v>тыс.руб./</v>
      </c>
      <c r="E67" s="10">
        <f>Предпосылки!$G$87*E3</f>
        <v>0</v>
      </c>
      <c r="F67" s="10">
        <f>Предпосылки!$G$87*F3</f>
        <v>0</v>
      </c>
      <c r="G67" s="10">
        <f>Предпосылки!$G$87*G3</f>
        <v>0</v>
      </c>
      <c r="H67" s="10">
        <f>Предпосылки!$G$87*H3</f>
        <v>0</v>
      </c>
      <c r="I67" s="10">
        <f>Предпосылки!$G$87*I3</f>
        <v>0</v>
      </c>
      <c r="J67" s="10">
        <f>Предпосылки!$G$87*J3</f>
        <v>0</v>
      </c>
      <c r="K67" s="10">
        <f>Предпосылки!$G$87*K3</f>
        <v>0</v>
      </c>
      <c r="L67" s="10">
        <f>Предпосылки!$G$87*L3</f>
        <v>0</v>
      </c>
      <c r="M67" s="10">
        <f>Предпосылки!$G$87*M3</f>
        <v>0</v>
      </c>
      <c r="N67" s="10">
        <f>Предпосылки!$G$87*N3</f>
        <v>0</v>
      </c>
    </row>
    <row r="68" spans="1:15" x14ac:dyDescent="0.25">
      <c r="A68" s="198" t="s">
        <v>157</v>
      </c>
      <c r="B68" s="435">
        <f>Предпосылки!B88</f>
        <v>0</v>
      </c>
      <c r="D68" s="188" t="str">
        <f>Предпосылки!E88</f>
        <v>тыс.руб./</v>
      </c>
      <c r="E68" s="10">
        <f>Предпосылки!$G$88*E3</f>
        <v>0</v>
      </c>
      <c r="F68" s="10">
        <f>Предпосылки!$G$88*F3</f>
        <v>0</v>
      </c>
      <c r="G68" s="10">
        <f>Предпосылки!$G$88*G3</f>
        <v>0</v>
      </c>
      <c r="H68" s="10">
        <f>Предпосылки!$G$88*H3</f>
        <v>0</v>
      </c>
      <c r="I68" s="10">
        <f>Предпосылки!$G$88*I3</f>
        <v>0</v>
      </c>
      <c r="J68" s="10">
        <f>Предпосылки!$G$88*J3</f>
        <v>0</v>
      </c>
      <c r="K68" s="10">
        <f>Предпосылки!$G$88*K3</f>
        <v>0</v>
      </c>
      <c r="L68" s="10">
        <f>Предпосылки!$G$88*L3</f>
        <v>0</v>
      </c>
      <c r="M68" s="10">
        <f>Предпосылки!$G$88*M3</f>
        <v>0</v>
      </c>
      <c r="N68" s="10">
        <f>Предпосылки!$G$88*N3</f>
        <v>0</v>
      </c>
    </row>
    <row r="69" spans="1:15" x14ac:dyDescent="0.25">
      <c r="A69" s="198" t="s">
        <v>158</v>
      </c>
      <c r="B69" s="435">
        <f>Предпосылки!B89</f>
        <v>0</v>
      </c>
      <c r="D69" s="188" t="str">
        <f>Предпосылки!E89</f>
        <v>тыс.руб./</v>
      </c>
      <c r="E69" s="10">
        <f>Предпосылки!$G$89*E3</f>
        <v>0</v>
      </c>
      <c r="F69" s="10">
        <f>Предпосылки!$G$89*F3</f>
        <v>0</v>
      </c>
      <c r="G69" s="10">
        <f>Предпосылки!$G$89*G3</f>
        <v>0</v>
      </c>
      <c r="H69" s="10">
        <f>Предпосылки!$G$89*H3</f>
        <v>0</v>
      </c>
      <c r="I69" s="10">
        <f>Предпосылки!$G$89*I3</f>
        <v>0</v>
      </c>
      <c r="J69" s="10">
        <f>Предпосылки!$G$89*J3</f>
        <v>0</v>
      </c>
      <c r="K69" s="10">
        <f>Предпосылки!$G$89*K3</f>
        <v>0</v>
      </c>
      <c r="L69" s="10">
        <f>Предпосылки!$G$89*L3</f>
        <v>0</v>
      </c>
      <c r="M69" s="10">
        <f>Предпосылки!$G$89*M3</f>
        <v>0</v>
      </c>
      <c r="N69" s="10">
        <f>Предпосылки!$G$89*N3</f>
        <v>0</v>
      </c>
    </row>
    <row r="70" spans="1:15" x14ac:dyDescent="0.25">
      <c r="A70" s="198" t="s">
        <v>159</v>
      </c>
      <c r="B70" s="435">
        <f>Предпосылки!B90</f>
        <v>0</v>
      </c>
      <c r="D70" s="188" t="str">
        <f>Предпосылки!E90</f>
        <v>тыс.руб./</v>
      </c>
      <c r="E70" s="10">
        <f>Предпосылки!$G$90*E3</f>
        <v>0</v>
      </c>
      <c r="F70" s="10">
        <f>Предпосылки!$G$90*F3</f>
        <v>0</v>
      </c>
      <c r="G70" s="10">
        <f>Предпосылки!$G$90*G3</f>
        <v>0</v>
      </c>
      <c r="H70" s="10">
        <f>Предпосылки!$G$90*H3</f>
        <v>0</v>
      </c>
      <c r="I70" s="10">
        <f>Предпосылки!$G$90*I3</f>
        <v>0</v>
      </c>
      <c r="J70" s="10">
        <f>Предпосылки!$G$90*J3</f>
        <v>0</v>
      </c>
      <c r="K70" s="10">
        <f>Предпосылки!$G$90*K3</f>
        <v>0</v>
      </c>
      <c r="L70" s="10">
        <f>Предпосылки!$G$90*L3</f>
        <v>0</v>
      </c>
      <c r="M70" s="10">
        <f>Предпосылки!$G$90*M3</f>
        <v>0</v>
      </c>
      <c r="N70" s="10">
        <f>Предпосылки!$G$90*N3</f>
        <v>0</v>
      </c>
    </row>
    <row r="71" spans="1:15" x14ac:dyDescent="0.25">
      <c r="A71" s="198" t="s">
        <v>160</v>
      </c>
      <c r="B71" s="435">
        <f>Предпосылки!B91</f>
        <v>0</v>
      </c>
      <c r="D71" s="188" t="str">
        <f>Предпосылки!E91</f>
        <v>тыс.руб./</v>
      </c>
      <c r="E71" s="10">
        <f>Предпосылки!$G$91*E3</f>
        <v>0</v>
      </c>
      <c r="F71" s="10">
        <f>Предпосылки!$G$91*F3</f>
        <v>0</v>
      </c>
      <c r="G71" s="10">
        <f>Предпосылки!$G$91*G3</f>
        <v>0</v>
      </c>
      <c r="H71" s="10">
        <f>Предпосылки!$G$91*H3</f>
        <v>0</v>
      </c>
      <c r="I71" s="10">
        <f>Предпосылки!$G$91*I3</f>
        <v>0</v>
      </c>
      <c r="J71" s="10">
        <f>Предпосылки!$G$91*J3</f>
        <v>0</v>
      </c>
      <c r="K71" s="10">
        <f>Предпосылки!$G$91*K3</f>
        <v>0</v>
      </c>
      <c r="L71" s="10">
        <f>Предпосылки!$G$91*L3</f>
        <v>0</v>
      </c>
      <c r="M71" s="10">
        <f>Предпосылки!$G$91*M3</f>
        <v>0</v>
      </c>
      <c r="N71" s="10">
        <f>Предпосылки!$G$91*N3</f>
        <v>0</v>
      </c>
    </row>
    <row r="72" spans="1:15" x14ac:dyDescent="0.25">
      <c r="D72" s="188"/>
    </row>
    <row r="73" spans="1:15" x14ac:dyDescent="0.25">
      <c r="B73" s="164" t="s">
        <v>214</v>
      </c>
      <c r="D73" s="188"/>
    </row>
    <row r="74" spans="1:15" x14ac:dyDescent="0.25">
      <c r="A74" s="198" t="s">
        <v>151</v>
      </c>
      <c r="B74" s="435" t="str">
        <f t="shared" ref="B74:B83" si="15">B50</f>
        <v>Овощи</v>
      </c>
      <c r="D74" s="188" t="s">
        <v>39</v>
      </c>
      <c r="E74" s="10">
        <f t="shared" ref="E74:N74" si="16">E50*E62</f>
        <v>0</v>
      </c>
      <c r="F74" s="10">
        <f t="shared" si="16"/>
        <v>92615.6</v>
      </c>
      <c r="G74" s="10">
        <f t="shared" si="16"/>
        <v>104539.8585</v>
      </c>
      <c r="H74" s="10">
        <f t="shared" si="16"/>
        <v>116306.67048000002</v>
      </c>
      <c r="I74" s="10">
        <f t="shared" si="16"/>
        <v>128847.56364480002</v>
      </c>
      <c r="J74" s="10">
        <f t="shared" si="16"/>
        <v>142205.63759001603</v>
      </c>
      <c r="K74" s="10">
        <f t="shared" si="16"/>
        <v>156426.20134901765</v>
      </c>
      <c r="L74" s="10">
        <f t="shared" si="16"/>
        <v>171556.88118859535</v>
      </c>
      <c r="M74" s="10">
        <f t="shared" si="16"/>
        <v>187647.73349318083</v>
      </c>
      <c r="N74" s="10">
        <f t="shared" si="16"/>
        <v>207950.60301867253</v>
      </c>
      <c r="O74" s="270">
        <f t="shared" ref="O74:O84" si="17">SUM(E74:N74)</f>
        <v>1308096.7492642824</v>
      </c>
    </row>
    <row r="75" spans="1:15" x14ac:dyDescent="0.25">
      <c r="A75" s="198" t="s">
        <v>152</v>
      </c>
      <c r="B75" s="435">
        <f t="shared" si="15"/>
        <v>0</v>
      </c>
      <c r="D75" s="188" t="s">
        <v>39</v>
      </c>
      <c r="E75" s="10">
        <f t="shared" ref="E75:N75" si="18">E51*E63</f>
        <v>0</v>
      </c>
      <c r="F75" s="10">
        <f t="shared" si="18"/>
        <v>0</v>
      </c>
      <c r="G75" s="10">
        <f t="shared" si="18"/>
        <v>0</v>
      </c>
      <c r="H75" s="10">
        <f t="shared" si="18"/>
        <v>0</v>
      </c>
      <c r="I75" s="10">
        <f t="shared" si="18"/>
        <v>0</v>
      </c>
      <c r="J75" s="10">
        <f t="shared" si="18"/>
        <v>0</v>
      </c>
      <c r="K75" s="10">
        <f t="shared" si="18"/>
        <v>0</v>
      </c>
      <c r="L75" s="10">
        <f t="shared" si="18"/>
        <v>0</v>
      </c>
      <c r="M75" s="10">
        <f t="shared" si="18"/>
        <v>0</v>
      </c>
      <c r="N75" s="10">
        <f t="shared" si="18"/>
        <v>0</v>
      </c>
      <c r="O75" s="270">
        <f t="shared" si="17"/>
        <v>0</v>
      </c>
    </row>
    <row r="76" spans="1:15" x14ac:dyDescent="0.25">
      <c r="A76" s="198" t="s">
        <v>153</v>
      </c>
      <c r="B76" s="435">
        <f t="shared" si="15"/>
        <v>0</v>
      </c>
      <c r="D76" s="188" t="s">
        <v>39</v>
      </c>
      <c r="E76" s="10">
        <f t="shared" ref="E76:N76" si="19">E52*E64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10">
        <f t="shared" si="19"/>
        <v>0</v>
      </c>
      <c r="J76" s="10">
        <f t="shared" si="19"/>
        <v>0</v>
      </c>
      <c r="K76" s="10">
        <f t="shared" si="19"/>
        <v>0</v>
      </c>
      <c r="L76" s="10">
        <f t="shared" si="19"/>
        <v>0</v>
      </c>
      <c r="M76" s="10">
        <f t="shared" si="19"/>
        <v>0</v>
      </c>
      <c r="N76" s="10">
        <f t="shared" si="19"/>
        <v>0</v>
      </c>
      <c r="O76" s="270">
        <f t="shared" si="17"/>
        <v>0</v>
      </c>
    </row>
    <row r="77" spans="1:15" x14ac:dyDescent="0.25">
      <c r="A77" s="198" t="s">
        <v>154</v>
      </c>
      <c r="B77" s="435">
        <f t="shared" si="15"/>
        <v>0</v>
      </c>
      <c r="D77" s="188" t="s">
        <v>39</v>
      </c>
      <c r="E77" s="10">
        <f t="shared" ref="E77:N77" si="20">E53*E65</f>
        <v>0</v>
      </c>
      <c r="F77" s="10">
        <f t="shared" si="20"/>
        <v>0</v>
      </c>
      <c r="G77" s="10">
        <f t="shared" si="20"/>
        <v>0</v>
      </c>
      <c r="H77" s="10">
        <f t="shared" si="20"/>
        <v>0</v>
      </c>
      <c r="I77" s="10">
        <f t="shared" si="20"/>
        <v>0</v>
      </c>
      <c r="J77" s="10">
        <f t="shared" si="20"/>
        <v>0</v>
      </c>
      <c r="K77" s="10">
        <f t="shared" si="20"/>
        <v>0</v>
      </c>
      <c r="L77" s="10">
        <f t="shared" si="20"/>
        <v>0</v>
      </c>
      <c r="M77" s="10">
        <f t="shared" si="20"/>
        <v>0</v>
      </c>
      <c r="N77" s="10">
        <f t="shared" si="20"/>
        <v>0</v>
      </c>
      <c r="O77" s="270">
        <f t="shared" si="17"/>
        <v>0</v>
      </c>
    </row>
    <row r="78" spans="1:15" x14ac:dyDescent="0.25">
      <c r="A78" s="198" t="s">
        <v>155</v>
      </c>
      <c r="B78" s="435">
        <f t="shared" si="15"/>
        <v>0</v>
      </c>
      <c r="D78" s="188" t="s">
        <v>39</v>
      </c>
      <c r="E78" s="10">
        <f t="shared" ref="E78:N78" si="21">E54*E66</f>
        <v>0</v>
      </c>
      <c r="F78" s="10">
        <f t="shared" si="21"/>
        <v>0</v>
      </c>
      <c r="G78" s="10">
        <f t="shared" si="21"/>
        <v>0</v>
      </c>
      <c r="H78" s="10">
        <f t="shared" si="21"/>
        <v>0</v>
      </c>
      <c r="I78" s="10">
        <f t="shared" si="21"/>
        <v>0</v>
      </c>
      <c r="J78" s="10">
        <f t="shared" si="21"/>
        <v>0</v>
      </c>
      <c r="K78" s="10">
        <f t="shared" si="21"/>
        <v>0</v>
      </c>
      <c r="L78" s="10">
        <f t="shared" si="21"/>
        <v>0</v>
      </c>
      <c r="M78" s="10">
        <f t="shared" si="21"/>
        <v>0</v>
      </c>
      <c r="N78" s="10">
        <f t="shared" si="21"/>
        <v>0</v>
      </c>
      <c r="O78" s="270">
        <f t="shared" si="17"/>
        <v>0</v>
      </c>
    </row>
    <row r="79" spans="1:15" x14ac:dyDescent="0.25">
      <c r="A79" s="198" t="s">
        <v>156</v>
      </c>
      <c r="B79" s="435">
        <f t="shared" si="15"/>
        <v>0</v>
      </c>
      <c r="D79" s="188" t="s">
        <v>39</v>
      </c>
      <c r="E79" s="10">
        <f t="shared" ref="E79:N79" si="22">E55*E67</f>
        <v>0</v>
      </c>
      <c r="F79" s="10">
        <f t="shared" si="22"/>
        <v>0</v>
      </c>
      <c r="G79" s="10">
        <f t="shared" si="22"/>
        <v>0</v>
      </c>
      <c r="H79" s="10">
        <f t="shared" si="22"/>
        <v>0</v>
      </c>
      <c r="I79" s="10">
        <f t="shared" si="22"/>
        <v>0</v>
      </c>
      <c r="J79" s="10">
        <f t="shared" si="22"/>
        <v>0</v>
      </c>
      <c r="K79" s="10">
        <f t="shared" si="22"/>
        <v>0</v>
      </c>
      <c r="L79" s="10">
        <f t="shared" si="22"/>
        <v>0</v>
      </c>
      <c r="M79" s="10">
        <f t="shared" si="22"/>
        <v>0</v>
      </c>
      <c r="N79" s="10">
        <f t="shared" si="22"/>
        <v>0</v>
      </c>
      <c r="O79" s="270">
        <f t="shared" si="17"/>
        <v>0</v>
      </c>
    </row>
    <row r="80" spans="1:15" x14ac:dyDescent="0.25">
      <c r="A80" s="198" t="s">
        <v>157</v>
      </c>
      <c r="B80" s="435">
        <f t="shared" si="15"/>
        <v>0</v>
      </c>
      <c r="D80" s="188" t="s">
        <v>39</v>
      </c>
      <c r="E80" s="10">
        <f t="shared" ref="E80:N80" si="23">E56*E68</f>
        <v>0</v>
      </c>
      <c r="F80" s="10">
        <f t="shared" si="23"/>
        <v>0</v>
      </c>
      <c r="G80" s="10">
        <f t="shared" si="23"/>
        <v>0</v>
      </c>
      <c r="H80" s="10">
        <f t="shared" si="23"/>
        <v>0</v>
      </c>
      <c r="I80" s="10">
        <f t="shared" si="23"/>
        <v>0</v>
      </c>
      <c r="J80" s="10">
        <f t="shared" si="23"/>
        <v>0</v>
      </c>
      <c r="K80" s="10">
        <f t="shared" si="23"/>
        <v>0</v>
      </c>
      <c r="L80" s="10">
        <f t="shared" si="23"/>
        <v>0</v>
      </c>
      <c r="M80" s="10">
        <f t="shared" si="23"/>
        <v>0</v>
      </c>
      <c r="N80" s="10">
        <f t="shared" si="23"/>
        <v>0</v>
      </c>
      <c r="O80" s="270">
        <f t="shared" si="17"/>
        <v>0</v>
      </c>
    </row>
    <row r="81" spans="1:15" x14ac:dyDescent="0.25">
      <c r="A81" s="198" t="s">
        <v>158</v>
      </c>
      <c r="B81" s="435">
        <f t="shared" si="15"/>
        <v>0</v>
      </c>
      <c r="D81" s="188" t="s">
        <v>39</v>
      </c>
      <c r="E81" s="10">
        <f t="shared" ref="E81:N81" si="24">E57*E69</f>
        <v>0</v>
      </c>
      <c r="F81" s="10">
        <f t="shared" si="24"/>
        <v>0</v>
      </c>
      <c r="G81" s="10">
        <f t="shared" si="24"/>
        <v>0</v>
      </c>
      <c r="H81" s="10">
        <f t="shared" si="24"/>
        <v>0</v>
      </c>
      <c r="I81" s="10">
        <f t="shared" si="24"/>
        <v>0</v>
      </c>
      <c r="J81" s="10">
        <f t="shared" si="24"/>
        <v>0</v>
      </c>
      <c r="K81" s="10">
        <f t="shared" si="24"/>
        <v>0</v>
      </c>
      <c r="L81" s="10">
        <f t="shared" si="24"/>
        <v>0</v>
      </c>
      <c r="M81" s="10">
        <f t="shared" si="24"/>
        <v>0</v>
      </c>
      <c r="N81" s="10">
        <f t="shared" si="24"/>
        <v>0</v>
      </c>
      <c r="O81" s="270">
        <f t="shared" si="17"/>
        <v>0</v>
      </c>
    </row>
    <row r="82" spans="1:15" x14ac:dyDescent="0.25">
      <c r="A82" s="198" t="s">
        <v>159</v>
      </c>
      <c r="B82" s="435">
        <f t="shared" si="15"/>
        <v>0</v>
      </c>
      <c r="D82" s="188" t="s">
        <v>39</v>
      </c>
      <c r="E82" s="10">
        <f t="shared" ref="E82:N82" si="25">E58*E70</f>
        <v>0</v>
      </c>
      <c r="F82" s="10">
        <f t="shared" si="25"/>
        <v>0</v>
      </c>
      <c r="G82" s="10">
        <f t="shared" si="25"/>
        <v>0</v>
      </c>
      <c r="H82" s="10">
        <f t="shared" si="25"/>
        <v>0</v>
      </c>
      <c r="I82" s="10">
        <f t="shared" si="25"/>
        <v>0</v>
      </c>
      <c r="J82" s="10">
        <f t="shared" si="25"/>
        <v>0</v>
      </c>
      <c r="K82" s="10">
        <f t="shared" si="25"/>
        <v>0</v>
      </c>
      <c r="L82" s="10">
        <f t="shared" si="25"/>
        <v>0</v>
      </c>
      <c r="M82" s="10">
        <f t="shared" si="25"/>
        <v>0</v>
      </c>
      <c r="N82" s="10">
        <f t="shared" si="25"/>
        <v>0</v>
      </c>
      <c r="O82" s="270">
        <f t="shared" si="17"/>
        <v>0</v>
      </c>
    </row>
    <row r="83" spans="1:15" x14ac:dyDescent="0.25">
      <c r="A83" s="198" t="s">
        <v>160</v>
      </c>
      <c r="B83" s="440">
        <f t="shared" si="15"/>
        <v>0</v>
      </c>
      <c r="C83" s="195"/>
      <c r="D83" s="196" t="s">
        <v>39</v>
      </c>
      <c r="E83" s="197">
        <f t="shared" ref="E83:N83" si="26">E59*E71</f>
        <v>0</v>
      </c>
      <c r="F83" s="197">
        <f t="shared" si="26"/>
        <v>0</v>
      </c>
      <c r="G83" s="197">
        <f t="shared" si="26"/>
        <v>0</v>
      </c>
      <c r="H83" s="197">
        <f t="shared" si="26"/>
        <v>0</v>
      </c>
      <c r="I83" s="197">
        <f t="shared" si="26"/>
        <v>0</v>
      </c>
      <c r="J83" s="197">
        <f t="shared" si="26"/>
        <v>0</v>
      </c>
      <c r="K83" s="197">
        <f t="shared" si="26"/>
        <v>0</v>
      </c>
      <c r="L83" s="197">
        <f t="shared" si="26"/>
        <v>0</v>
      </c>
      <c r="M83" s="197">
        <f t="shared" si="26"/>
        <v>0</v>
      </c>
      <c r="N83" s="197">
        <f t="shared" si="26"/>
        <v>0</v>
      </c>
      <c r="O83" s="337">
        <f t="shared" si="17"/>
        <v>0</v>
      </c>
    </row>
    <row r="84" spans="1:15" x14ac:dyDescent="0.25">
      <c r="B84" s="377" t="s">
        <v>196</v>
      </c>
      <c r="C84" s="17"/>
      <c r="D84" s="15" t="s">
        <v>39</v>
      </c>
      <c r="E84" s="192">
        <f>SUM(E74:E83)</f>
        <v>0</v>
      </c>
      <c r="F84" s="192">
        <f t="shared" ref="F84:N84" si="27">SUM(F74:F83)</f>
        <v>92615.6</v>
      </c>
      <c r="G84" s="192">
        <f t="shared" si="27"/>
        <v>104539.8585</v>
      </c>
      <c r="H84" s="192">
        <f t="shared" si="27"/>
        <v>116306.67048000002</v>
      </c>
      <c r="I84" s="192">
        <f t="shared" si="27"/>
        <v>128847.56364480002</v>
      </c>
      <c r="J84" s="192">
        <f t="shared" si="27"/>
        <v>142205.63759001603</v>
      </c>
      <c r="K84" s="192">
        <f t="shared" si="27"/>
        <v>156426.20134901765</v>
      </c>
      <c r="L84" s="192">
        <f t="shared" si="27"/>
        <v>171556.88118859535</v>
      </c>
      <c r="M84" s="192">
        <f t="shared" si="27"/>
        <v>187647.73349318083</v>
      </c>
      <c r="N84" s="192">
        <f t="shared" si="27"/>
        <v>207950.60301867253</v>
      </c>
      <c r="O84" s="192">
        <f t="shared" si="17"/>
        <v>1308096.7492642824</v>
      </c>
    </row>
    <row r="86" spans="1:15" x14ac:dyDescent="0.25">
      <c r="B86" s="164" t="s">
        <v>191</v>
      </c>
      <c r="D86" s="188"/>
    </row>
    <row r="87" spans="1:15" x14ac:dyDescent="0.25">
      <c r="A87" s="198" t="s">
        <v>151</v>
      </c>
      <c r="B87" s="223" t="str">
        <f>Предпосылки!B95</f>
        <v>Электроэнергия</v>
      </c>
      <c r="D87" s="188" t="str">
        <f>Предпосылки!E95</f>
        <v>кВт*ч/год</v>
      </c>
      <c r="E87" s="40">
        <f>Предпосылки!G95</f>
        <v>0</v>
      </c>
      <c r="F87" s="40">
        <f>Предпосылки!H95</f>
        <v>10100</v>
      </c>
      <c r="G87" s="40">
        <f>Предпосылки!I95</f>
        <v>10400</v>
      </c>
      <c r="H87" s="40">
        <f>Предпосылки!J95</f>
        <v>10700</v>
      </c>
      <c r="I87" s="40">
        <f>Предпосылки!K95</f>
        <v>11000</v>
      </c>
      <c r="J87" s="40">
        <f>Предпосылки!L95</f>
        <v>11300</v>
      </c>
      <c r="K87" s="40">
        <f>Предпосылки!M95</f>
        <v>11600</v>
      </c>
      <c r="L87" s="40">
        <f>Предпосылки!N95</f>
        <v>11900</v>
      </c>
      <c r="M87" s="40">
        <f>Предпосылки!O95</f>
        <v>12200</v>
      </c>
      <c r="N87" s="40">
        <f>Предпосылки!P95</f>
        <v>12500</v>
      </c>
    </row>
    <row r="88" spans="1:15" x14ac:dyDescent="0.25">
      <c r="A88" s="198" t="s">
        <v>152</v>
      </c>
      <c r="B88" s="223" t="str">
        <f>Предпосылки!B96</f>
        <v>Горячее водоснабжение</v>
      </c>
      <c r="D88" s="188" t="str">
        <f>Предпосылки!E96</f>
        <v>куб.м/год</v>
      </c>
      <c r="E88" s="40">
        <f>Предпосылки!G96</f>
        <v>0</v>
      </c>
      <c r="F88" s="40">
        <f>Предпосылки!H96</f>
        <v>0</v>
      </c>
      <c r="G88" s="40">
        <f>Предпосылки!I96</f>
        <v>0</v>
      </c>
      <c r="H88" s="40">
        <f>Предпосылки!J96</f>
        <v>0</v>
      </c>
      <c r="I88" s="40">
        <f>Предпосылки!K96</f>
        <v>0</v>
      </c>
      <c r="J88" s="40">
        <f>Предпосылки!L96</f>
        <v>0</v>
      </c>
      <c r="K88" s="40">
        <f>Предпосылки!M96</f>
        <v>0</v>
      </c>
      <c r="L88" s="40">
        <f>Предпосылки!N96</f>
        <v>0</v>
      </c>
      <c r="M88" s="40">
        <f>Предпосылки!O96</f>
        <v>0</v>
      </c>
      <c r="N88" s="40">
        <f>Предпосылки!P96</f>
        <v>0</v>
      </c>
    </row>
    <row r="89" spans="1:15" x14ac:dyDescent="0.25">
      <c r="A89" s="198" t="s">
        <v>153</v>
      </c>
      <c r="B89" s="223" t="str">
        <f>Предпосылки!B97</f>
        <v>Холодное водоснабжение</v>
      </c>
      <c r="D89" s="188" t="str">
        <f>Предпосылки!E97</f>
        <v>куб.м/год</v>
      </c>
      <c r="E89" s="40">
        <f>Предпосылки!G97</f>
        <v>0</v>
      </c>
      <c r="F89" s="40">
        <f>Предпосылки!H97</f>
        <v>2100</v>
      </c>
      <c r="G89" s="40">
        <f>Предпосылки!I97</f>
        <v>2200</v>
      </c>
      <c r="H89" s="40">
        <f>Предпосылки!J97</f>
        <v>2300</v>
      </c>
      <c r="I89" s="40">
        <f>Предпосылки!K97</f>
        <v>2400</v>
      </c>
      <c r="J89" s="40">
        <f>Предпосылки!L97</f>
        <v>2500</v>
      </c>
      <c r="K89" s="40">
        <f>Предпосылки!M97</f>
        <v>2600</v>
      </c>
      <c r="L89" s="40">
        <f>Предпосылки!N97</f>
        <v>2700</v>
      </c>
      <c r="M89" s="40">
        <f>Предпосылки!O97</f>
        <v>2800</v>
      </c>
      <c r="N89" s="40">
        <f>Предпосылки!P97</f>
        <v>2900</v>
      </c>
    </row>
    <row r="90" spans="1:15" x14ac:dyDescent="0.25">
      <c r="A90" s="198" t="s">
        <v>154</v>
      </c>
      <c r="B90" s="223" t="str">
        <f>Предпосылки!B98</f>
        <v>Водоотведение</v>
      </c>
      <c r="D90" s="188" t="str">
        <f>Предпосылки!E98</f>
        <v>куб.м/год</v>
      </c>
      <c r="E90" s="40">
        <f>Предпосылки!G98</f>
        <v>0</v>
      </c>
      <c r="F90" s="40">
        <f>Предпосылки!H98</f>
        <v>2100</v>
      </c>
      <c r="G90" s="40">
        <f>Предпосылки!I98</f>
        <v>2200</v>
      </c>
      <c r="H90" s="40">
        <f>Предпосылки!J98</f>
        <v>2300</v>
      </c>
      <c r="I90" s="40">
        <f>Предпосылки!K98</f>
        <v>2400</v>
      </c>
      <c r="J90" s="40">
        <f>Предпосылки!L98</f>
        <v>2500</v>
      </c>
      <c r="K90" s="40">
        <f>Предпосылки!M98</f>
        <v>2600</v>
      </c>
      <c r="L90" s="40">
        <f>Предпосылки!N98</f>
        <v>2700</v>
      </c>
      <c r="M90" s="40">
        <f>Предпосылки!O98</f>
        <v>2800</v>
      </c>
      <c r="N90" s="40">
        <f>Предпосылки!P98</f>
        <v>2900</v>
      </c>
    </row>
    <row r="91" spans="1:15" x14ac:dyDescent="0.25">
      <c r="A91" s="198" t="s">
        <v>155</v>
      </c>
      <c r="B91" s="223" t="str">
        <f>Предпосылки!B99</f>
        <v>Теплоснабжение</v>
      </c>
      <c r="D91" s="188" t="str">
        <f>Предпосылки!E99</f>
        <v>Гкал/год</v>
      </c>
      <c r="E91" s="40">
        <f>Предпосылки!G99</f>
        <v>0</v>
      </c>
      <c r="F91" s="40">
        <f>Предпосылки!H99</f>
        <v>0</v>
      </c>
      <c r="G91" s="40">
        <f>Предпосылки!I99</f>
        <v>0</v>
      </c>
      <c r="H91" s="40">
        <f>Предпосылки!J99</f>
        <v>0</v>
      </c>
      <c r="I91" s="40">
        <f>Предпосылки!K99</f>
        <v>0</v>
      </c>
      <c r="J91" s="40">
        <f>Предпосылки!L99</f>
        <v>0</v>
      </c>
      <c r="K91" s="40">
        <f>Предпосылки!M99</f>
        <v>0</v>
      </c>
      <c r="L91" s="40">
        <f>Предпосылки!N99</f>
        <v>0</v>
      </c>
      <c r="M91" s="40">
        <f>Предпосылки!O99</f>
        <v>0</v>
      </c>
      <c r="N91" s="40">
        <f>Предпосылки!P99</f>
        <v>0</v>
      </c>
    </row>
    <row r="92" spans="1:15" x14ac:dyDescent="0.25">
      <c r="A92" s="198" t="s">
        <v>156</v>
      </c>
      <c r="B92" s="223" t="str">
        <f>Предпосылки!B100</f>
        <v>Газоснабжение</v>
      </c>
      <c r="D92" s="188" t="str">
        <f>Предпосылки!E100</f>
        <v>куб.м/год</v>
      </c>
      <c r="E92" s="40">
        <f>Предпосылки!G100</f>
        <v>0</v>
      </c>
      <c r="F92" s="40">
        <f>Предпосылки!H100</f>
        <v>7700</v>
      </c>
      <c r="G92" s="40">
        <f>Предпосылки!I100</f>
        <v>7900</v>
      </c>
      <c r="H92" s="40">
        <f>Предпосылки!J100</f>
        <v>8100</v>
      </c>
      <c r="I92" s="40">
        <f>Предпосылки!K100</f>
        <v>8300</v>
      </c>
      <c r="J92" s="40">
        <f>Предпосылки!L100</f>
        <v>8500</v>
      </c>
      <c r="K92" s="40">
        <f>Предпосылки!M100</f>
        <v>8700</v>
      </c>
      <c r="L92" s="40">
        <f>Предпосылки!N100</f>
        <v>8900</v>
      </c>
      <c r="M92" s="40">
        <f>Предпосылки!O100</f>
        <v>9100</v>
      </c>
      <c r="N92" s="40">
        <f>Предпосылки!P100</f>
        <v>9300</v>
      </c>
    </row>
    <row r="93" spans="1:15" x14ac:dyDescent="0.25">
      <c r="D93" s="188"/>
      <c r="E93" s="194"/>
      <c r="F93" s="194"/>
      <c r="G93" s="194"/>
      <c r="H93" s="194"/>
      <c r="I93" s="194"/>
      <c r="J93" s="194"/>
      <c r="K93" s="194"/>
      <c r="L93" s="194"/>
      <c r="M93" s="194"/>
      <c r="N93" s="194"/>
    </row>
    <row r="94" spans="1:15" x14ac:dyDescent="0.25">
      <c r="B94" s="164" t="s">
        <v>186</v>
      </c>
      <c r="D94" s="188"/>
    </row>
    <row r="95" spans="1:15" x14ac:dyDescent="0.25">
      <c r="A95" s="198" t="s">
        <v>151</v>
      </c>
      <c r="B95" s="223" t="str">
        <f>Предпосылки!B104</f>
        <v>Электроэнергия</v>
      </c>
      <c r="D95" s="188" t="str">
        <f>Предпосылки!E104</f>
        <v>тыс.руб./кВт*ч/год</v>
      </c>
      <c r="E95" s="40">
        <f>Предпосылки!$G$104*E3</f>
        <v>5.4250000000000001E-3</v>
      </c>
      <c r="F95" s="40">
        <f>Предпосылки!$G$104*F3</f>
        <v>5.7884749999999995E-3</v>
      </c>
      <c r="G95" s="40">
        <f>Предпосылки!$G$104*G3</f>
        <v>6.0778987500000005E-3</v>
      </c>
      <c r="H95" s="40">
        <f>Предпосылки!$G$104*H3</f>
        <v>6.3210147000000005E-3</v>
      </c>
      <c r="I95" s="40">
        <f>Предпосылки!$G$104*I3</f>
        <v>6.5738552880000014E-3</v>
      </c>
      <c r="J95" s="40">
        <f>Предпосылки!$G$104*J3</f>
        <v>6.836809499520001E-3</v>
      </c>
      <c r="K95" s="40">
        <f>Предпосылки!$G$104*K3</f>
        <v>7.1102818795008016E-3</v>
      </c>
      <c r="L95" s="40">
        <f>Предпосылки!$G$104*L3</f>
        <v>7.394693154680834E-3</v>
      </c>
      <c r="M95" s="40">
        <f>Предпосылки!$G$104*M3</f>
        <v>7.6904808808680673E-3</v>
      </c>
      <c r="N95" s="40">
        <f>Предпосылки!$G$104*N3</f>
        <v>7.9981001161027899E-3</v>
      </c>
    </row>
    <row r="96" spans="1:15" x14ac:dyDescent="0.25">
      <c r="A96" s="198" t="s">
        <v>152</v>
      </c>
      <c r="B96" s="223" t="str">
        <f>Предпосылки!B105</f>
        <v>Горячее водоснабжение</v>
      </c>
      <c r="D96" s="188" t="str">
        <f>Предпосылки!E105</f>
        <v>тыс.руб./куб.м/год</v>
      </c>
      <c r="E96" s="40">
        <f>Предпосылки!$G$105*E3</f>
        <v>0</v>
      </c>
      <c r="F96" s="40">
        <f>Предпосылки!$G$105*F3</f>
        <v>0</v>
      </c>
      <c r="G96" s="40">
        <f>Предпосылки!$G$105*G3</f>
        <v>0</v>
      </c>
      <c r="H96" s="40">
        <f>Предпосылки!$G$105*H3</f>
        <v>0</v>
      </c>
      <c r="I96" s="40">
        <f>Предпосылки!$G$105*I3</f>
        <v>0</v>
      </c>
      <c r="J96" s="40">
        <f>Предпосылки!$G$105*J3</f>
        <v>0</v>
      </c>
      <c r="K96" s="40">
        <f>Предпосылки!$G$105*K3</f>
        <v>0</v>
      </c>
      <c r="L96" s="40">
        <f>Предпосылки!$G$105*L3</f>
        <v>0</v>
      </c>
      <c r="M96" s="40">
        <f>Предпосылки!$G$105*M3</f>
        <v>0</v>
      </c>
      <c r="N96" s="40">
        <f>Предпосылки!$G$105*N3</f>
        <v>0</v>
      </c>
    </row>
    <row r="97" spans="1:15" x14ac:dyDescent="0.25">
      <c r="A97" s="198" t="s">
        <v>153</v>
      </c>
      <c r="B97" s="223" t="str">
        <f>Предпосылки!B106</f>
        <v>Холодное водоснабжение</v>
      </c>
      <c r="D97" s="188" t="str">
        <f>Предпосылки!E106</f>
        <v>тыс.руб./куб.м/год</v>
      </c>
      <c r="E97" s="40">
        <f>Предпосылки!$G$106*E3</f>
        <v>2.7125E-2</v>
      </c>
      <c r="F97" s="40">
        <f>Предпосылки!$G$106*F3</f>
        <v>2.8942374999999999E-2</v>
      </c>
      <c r="G97" s="40">
        <f>Предпосылки!$G$106*G3</f>
        <v>3.0389493750000003E-2</v>
      </c>
      <c r="H97" s="40">
        <f>Предпосылки!$G$106*H3</f>
        <v>3.1605073500000004E-2</v>
      </c>
      <c r="I97" s="40">
        <f>Предпосылки!$G$106*I3</f>
        <v>3.2869276440000005E-2</v>
      </c>
      <c r="J97" s="40">
        <f>Предпосылки!$G$106*J3</f>
        <v>3.4184047497600005E-2</v>
      </c>
      <c r="K97" s="40">
        <f>Предпосылки!$G$106*K3</f>
        <v>3.5551409397504008E-2</v>
      </c>
      <c r="L97" s="40">
        <f>Предпосылки!$G$106*L3</f>
        <v>3.6973465773404171E-2</v>
      </c>
      <c r="M97" s="40">
        <f>Предпосылки!$G$106*M3</f>
        <v>3.8452404404340335E-2</v>
      </c>
      <c r="N97" s="40">
        <f>Предпосылки!$G$106*N3</f>
        <v>3.9990500580513955E-2</v>
      </c>
    </row>
    <row r="98" spans="1:15" x14ac:dyDescent="0.25">
      <c r="A98" s="198" t="s">
        <v>154</v>
      </c>
      <c r="B98" s="223" t="str">
        <f>Предпосылки!B107</f>
        <v>Водоотведение</v>
      </c>
      <c r="D98" s="188" t="str">
        <f>Предпосылки!E107</f>
        <v>тыс.руб./куб.м/год</v>
      </c>
      <c r="E98" s="40">
        <f>Предпосылки!$G$107*E3</f>
        <v>0.32549999999999996</v>
      </c>
      <c r="F98" s="40">
        <f>Предпосылки!$G$107*F3</f>
        <v>0.34730849999999996</v>
      </c>
      <c r="G98" s="40">
        <f>Предпосылки!$G$107*G3</f>
        <v>0.36467392500000001</v>
      </c>
      <c r="H98" s="40">
        <f>Предпосылки!$G$107*H3</f>
        <v>0.37926088200000002</v>
      </c>
      <c r="I98" s="40">
        <f>Предпосылки!$G$107*I3</f>
        <v>0.39443131728000008</v>
      </c>
      <c r="J98" s="40">
        <f>Предпосылки!$G$107*J3</f>
        <v>0.41020856997120009</v>
      </c>
      <c r="K98" s="40">
        <f>Предпосылки!$G$107*K3</f>
        <v>0.4266169127700481</v>
      </c>
      <c r="L98" s="40">
        <f>Предпосылки!$G$107*L3</f>
        <v>0.44368158928085</v>
      </c>
      <c r="M98" s="40">
        <f>Предпосылки!$G$107*M3</f>
        <v>0.46142885285208401</v>
      </c>
      <c r="N98" s="40">
        <f>Предпосылки!$G$107*N3</f>
        <v>0.47988600696616734</v>
      </c>
    </row>
    <row r="99" spans="1:15" x14ac:dyDescent="0.25">
      <c r="A99" s="198" t="s">
        <v>155</v>
      </c>
      <c r="B99" s="223" t="str">
        <f>Предпосылки!B108</f>
        <v>Теплоснабжение</v>
      </c>
      <c r="D99" s="188" t="str">
        <f>Предпосылки!E108</f>
        <v>тыс.руб./Гкал/год</v>
      </c>
      <c r="E99" s="40">
        <f>Предпосылки!$G$108*E3</f>
        <v>0</v>
      </c>
      <c r="F99" s="40">
        <f>Предпосылки!$G$108*F3</f>
        <v>0</v>
      </c>
      <c r="G99" s="40">
        <f>Предпосылки!$G$108*G3</f>
        <v>0</v>
      </c>
      <c r="H99" s="40">
        <f>Предпосылки!$G$108*H3</f>
        <v>0</v>
      </c>
      <c r="I99" s="40">
        <f>Предпосылки!$G$108*I3</f>
        <v>0</v>
      </c>
      <c r="J99" s="40">
        <f>Предпосылки!$G$108*J3</f>
        <v>0</v>
      </c>
      <c r="K99" s="40">
        <f>Предпосылки!$G$108*K3</f>
        <v>0</v>
      </c>
      <c r="L99" s="40">
        <f>Предпосылки!$G$108*L3</f>
        <v>0</v>
      </c>
      <c r="M99" s="40">
        <f>Предпосылки!$G$108*M3</f>
        <v>0</v>
      </c>
      <c r="N99" s="40">
        <f>Предпосылки!$G$108*N3</f>
        <v>0</v>
      </c>
    </row>
    <row r="100" spans="1:15" x14ac:dyDescent="0.25">
      <c r="A100" s="198" t="s">
        <v>156</v>
      </c>
      <c r="B100" s="223" t="str">
        <f>Предпосылки!B109</f>
        <v>Газоснабжение</v>
      </c>
      <c r="D100" s="188" t="str">
        <f>Предпосылки!E109</f>
        <v>тыс.руб./куб.м/год</v>
      </c>
      <c r="E100" s="40">
        <f>Предпосылки!$G$109*E3</f>
        <v>8.6800000000000002E-3</v>
      </c>
      <c r="F100" s="40">
        <f>Предпосылки!$G$109*F3</f>
        <v>9.2615600000000003E-3</v>
      </c>
      <c r="G100" s="40">
        <f>Предпосылки!$G$109*G3</f>
        <v>9.7246380000000007E-3</v>
      </c>
      <c r="H100" s="40">
        <f>Предпосылки!$G$109*H3</f>
        <v>1.0113623520000002E-2</v>
      </c>
      <c r="I100" s="40">
        <f>Предпосылки!$G$109*I3</f>
        <v>1.0518168460800002E-2</v>
      </c>
      <c r="J100" s="40">
        <f>Предпосылки!$G$109*J3</f>
        <v>1.0938895199232003E-2</v>
      </c>
      <c r="K100" s="40">
        <f>Предпосылки!$G$109*K3</f>
        <v>1.1376451007201282E-2</v>
      </c>
      <c r="L100" s="40">
        <f>Предпосылки!$G$109*L3</f>
        <v>1.1831509047489334E-2</v>
      </c>
      <c r="M100" s="40">
        <f>Предпосылки!$G$109*M3</f>
        <v>1.2304769409388907E-2</v>
      </c>
      <c r="N100" s="40">
        <f>Предпосылки!$G$109*N3</f>
        <v>1.2796960185764464E-2</v>
      </c>
    </row>
    <row r="101" spans="1:15" x14ac:dyDescent="0.25">
      <c r="D101" s="188"/>
    </row>
    <row r="102" spans="1:15" x14ac:dyDescent="0.25">
      <c r="B102" s="164" t="s">
        <v>216</v>
      </c>
      <c r="D102" s="188"/>
    </row>
    <row r="103" spans="1:15" x14ac:dyDescent="0.25">
      <c r="A103" s="198" t="s">
        <v>151</v>
      </c>
      <c r="B103" s="223" t="str">
        <f>B87</f>
        <v>Электроэнергия</v>
      </c>
      <c r="D103" s="188" t="s">
        <v>39</v>
      </c>
      <c r="E103" s="40">
        <f>E87*E95</f>
        <v>0</v>
      </c>
      <c r="F103" s="40">
        <f t="shared" ref="F103:N103" si="28">F87*F95</f>
        <v>58.463597499999992</v>
      </c>
      <c r="G103" s="40">
        <f t="shared" si="28"/>
        <v>63.210147000000006</v>
      </c>
      <c r="H103" s="40">
        <f t="shared" si="28"/>
        <v>67.634857289999999</v>
      </c>
      <c r="I103" s="40">
        <f t="shared" si="28"/>
        <v>72.312408168000019</v>
      </c>
      <c r="J103" s="40">
        <f t="shared" si="28"/>
        <v>77.255947344576015</v>
      </c>
      <c r="K103" s="40">
        <f t="shared" si="28"/>
        <v>82.479269802209302</v>
      </c>
      <c r="L103" s="40">
        <f t="shared" si="28"/>
        <v>87.996848540701919</v>
      </c>
      <c r="M103" s="40">
        <f t="shared" si="28"/>
        <v>93.823866746590426</v>
      </c>
      <c r="N103" s="40">
        <f t="shared" si="28"/>
        <v>99.976251451284867</v>
      </c>
      <c r="O103" s="270">
        <f t="shared" ref="O103:O109" si="29">SUM(E103:N103)</f>
        <v>703.1531938433626</v>
      </c>
    </row>
    <row r="104" spans="1:15" x14ac:dyDescent="0.25">
      <c r="A104" s="198" t="s">
        <v>152</v>
      </c>
      <c r="B104" s="223" t="str">
        <f t="shared" ref="B104:B108" si="30">B88</f>
        <v>Горячее водоснабжение</v>
      </c>
      <c r="D104" s="188" t="s">
        <v>39</v>
      </c>
      <c r="E104" s="40">
        <f>E88*E96</f>
        <v>0</v>
      </c>
      <c r="F104" s="40">
        <f t="shared" ref="E104:N108" si="31">F88*F96</f>
        <v>0</v>
      </c>
      <c r="G104" s="40">
        <f t="shared" si="31"/>
        <v>0</v>
      </c>
      <c r="H104" s="40">
        <f t="shared" si="31"/>
        <v>0</v>
      </c>
      <c r="I104" s="40">
        <f t="shared" si="31"/>
        <v>0</v>
      </c>
      <c r="J104" s="40">
        <f t="shared" si="31"/>
        <v>0</v>
      </c>
      <c r="K104" s="40">
        <f t="shared" si="31"/>
        <v>0</v>
      </c>
      <c r="L104" s="40">
        <f t="shared" si="31"/>
        <v>0</v>
      </c>
      <c r="M104" s="40">
        <f t="shared" si="31"/>
        <v>0</v>
      </c>
      <c r="N104" s="40">
        <f t="shared" si="31"/>
        <v>0</v>
      </c>
      <c r="O104" s="270">
        <f t="shared" si="29"/>
        <v>0</v>
      </c>
    </row>
    <row r="105" spans="1:15" x14ac:dyDescent="0.25">
      <c r="A105" s="198" t="s">
        <v>153</v>
      </c>
      <c r="B105" s="223" t="str">
        <f t="shared" si="30"/>
        <v>Холодное водоснабжение</v>
      </c>
      <c r="D105" s="188" t="s">
        <v>39</v>
      </c>
      <c r="E105" s="40">
        <f t="shared" si="31"/>
        <v>0</v>
      </c>
      <c r="F105" s="40">
        <f t="shared" si="31"/>
        <v>60.778987499999999</v>
      </c>
      <c r="G105" s="40">
        <f t="shared" si="31"/>
        <v>66.856886250000002</v>
      </c>
      <c r="H105" s="40">
        <f t="shared" si="31"/>
        <v>72.691669050000016</v>
      </c>
      <c r="I105" s="40">
        <f t="shared" si="31"/>
        <v>78.886263456000009</v>
      </c>
      <c r="J105" s="40">
        <f t="shared" si="31"/>
        <v>85.460118744000013</v>
      </c>
      <c r="K105" s="40">
        <f t="shared" si="31"/>
        <v>92.433664433510415</v>
      </c>
      <c r="L105" s="40">
        <f t="shared" si="31"/>
        <v>99.828357588191267</v>
      </c>
      <c r="M105" s="40">
        <f t="shared" si="31"/>
        <v>107.66673233215293</v>
      </c>
      <c r="N105" s="40">
        <f t="shared" si="31"/>
        <v>115.97245168349046</v>
      </c>
      <c r="O105" s="270">
        <f t="shared" si="29"/>
        <v>780.57513103734505</v>
      </c>
    </row>
    <row r="106" spans="1:15" x14ac:dyDescent="0.25">
      <c r="A106" s="198" t="s">
        <v>154</v>
      </c>
      <c r="B106" s="223" t="str">
        <f t="shared" si="30"/>
        <v>Водоотведение</v>
      </c>
      <c r="D106" s="188" t="s">
        <v>39</v>
      </c>
      <c r="E106" s="40">
        <f>E90*E98</f>
        <v>0</v>
      </c>
      <c r="F106" s="40">
        <f t="shared" si="31"/>
        <v>729.34784999999988</v>
      </c>
      <c r="G106" s="40">
        <f t="shared" si="31"/>
        <v>802.28263500000003</v>
      </c>
      <c r="H106" s="40">
        <f t="shared" si="31"/>
        <v>872.30002860000002</v>
      </c>
      <c r="I106" s="40">
        <f t="shared" si="31"/>
        <v>946.63516147200016</v>
      </c>
      <c r="J106" s="40">
        <f t="shared" si="31"/>
        <v>1025.5214249280002</v>
      </c>
      <c r="K106" s="40">
        <f t="shared" si="31"/>
        <v>1109.2039732021251</v>
      </c>
      <c r="L106" s="40">
        <f t="shared" si="31"/>
        <v>1197.9402910582951</v>
      </c>
      <c r="M106" s="40">
        <f t="shared" si="31"/>
        <v>1292.0007879858351</v>
      </c>
      <c r="N106" s="40">
        <f t="shared" si="31"/>
        <v>1391.6694202018853</v>
      </c>
      <c r="O106" s="270">
        <f t="shared" si="29"/>
        <v>9366.9015724481396</v>
      </c>
    </row>
    <row r="107" spans="1:15" x14ac:dyDescent="0.25">
      <c r="A107" s="198" t="s">
        <v>155</v>
      </c>
      <c r="B107" s="223" t="str">
        <f t="shared" si="30"/>
        <v>Теплоснабжение</v>
      </c>
      <c r="D107" s="188" t="s">
        <v>39</v>
      </c>
      <c r="E107" s="40">
        <f>E91*E99</f>
        <v>0</v>
      </c>
      <c r="F107" s="40">
        <f t="shared" si="31"/>
        <v>0</v>
      </c>
      <c r="G107" s="40">
        <f t="shared" si="31"/>
        <v>0</v>
      </c>
      <c r="H107" s="40">
        <f t="shared" si="31"/>
        <v>0</v>
      </c>
      <c r="I107" s="40">
        <f t="shared" si="31"/>
        <v>0</v>
      </c>
      <c r="J107" s="40">
        <f t="shared" si="31"/>
        <v>0</v>
      </c>
      <c r="K107" s="40">
        <f t="shared" si="31"/>
        <v>0</v>
      </c>
      <c r="L107" s="40">
        <f t="shared" si="31"/>
        <v>0</v>
      </c>
      <c r="M107" s="40">
        <f t="shared" si="31"/>
        <v>0</v>
      </c>
      <c r="N107" s="40">
        <f t="shared" si="31"/>
        <v>0</v>
      </c>
      <c r="O107" s="270">
        <f t="shared" si="29"/>
        <v>0</v>
      </c>
    </row>
    <row r="108" spans="1:15" x14ac:dyDescent="0.25">
      <c r="A108" s="198" t="s">
        <v>156</v>
      </c>
      <c r="B108" s="297" t="str">
        <f t="shared" si="30"/>
        <v>Газоснабжение</v>
      </c>
      <c r="C108" s="195"/>
      <c r="D108" s="196" t="s">
        <v>39</v>
      </c>
      <c r="E108" s="381">
        <f>E92*E100</f>
        <v>0</v>
      </c>
      <c r="F108" s="381">
        <f t="shared" si="31"/>
        <v>71.314012000000005</v>
      </c>
      <c r="G108" s="381">
        <f t="shared" si="31"/>
        <v>76.824640200000005</v>
      </c>
      <c r="H108" s="381">
        <f t="shared" si="31"/>
        <v>81.920350512000013</v>
      </c>
      <c r="I108" s="381">
        <f t="shared" si="31"/>
        <v>87.300798224640019</v>
      </c>
      <c r="J108" s="381">
        <f t="shared" si="31"/>
        <v>92.98060919347202</v>
      </c>
      <c r="K108" s="381">
        <f t="shared" si="31"/>
        <v>98.975123762651151</v>
      </c>
      <c r="L108" s="381">
        <f t="shared" si="31"/>
        <v>105.30043052265508</v>
      </c>
      <c r="M108" s="381">
        <f t="shared" si="31"/>
        <v>111.97340162543905</v>
      </c>
      <c r="N108" s="381">
        <f t="shared" si="31"/>
        <v>119.01172972760952</v>
      </c>
      <c r="O108" s="337">
        <f t="shared" si="29"/>
        <v>845.60109576846685</v>
      </c>
    </row>
    <row r="109" spans="1:15" x14ac:dyDescent="0.25">
      <c r="A109" s="200"/>
      <c r="B109" s="377" t="s">
        <v>196</v>
      </c>
      <c r="C109" s="17"/>
      <c r="D109" s="15" t="s">
        <v>39</v>
      </c>
      <c r="E109" s="192">
        <f>SUM(E103:E108)</f>
        <v>0</v>
      </c>
      <c r="F109" s="192">
        <f t="shared" ref="F109:N109" si="32">SUM(F103:F108)</f>
        <v>919.90444699999989</v>
      </c>
      <c r="G109" s="192">
        <f t="shared" si="32"/>
        <v>1009.17430845</v>
      </c>
      <c r="H109" s="192">
        <f t="shared" si="32"/>
        <v>1094.5469054519999</v>
      </c>
      <c r="I109" s="192">
        <f t="shared" si="32"/>
        <v>1185.1346313206402</v>
      </c>
      <c r="J109" s="192">
        <f t="shared" si="32"/>
        <v>1281.2181002100483</v>
      </c>
      <c r="K109" s="192">
        <f t="shared" si="32"/>
        <v>1383.092031200496</v>
      </c>
      <c r="L109" s="192">
        <f t="shared" si="32"/>
        <v>1491.0659277098432</v>
      </c>
      <c r="M109" s="192">
        <f t="shared" si="32"/>
        <v>1605.4647886900175</v>
      </c>
      <c r="N109" s="192">
        <f t="shared" si="32"/>
        <v>1726.62985306427</v>
      </c>
      <c r="O109" s="339">
        <f t="shared" si="29"/>
        <v>11696.230993097317</v>
      </c>
    </row>
    <row r="110" spans="1:15" x14ac:dyDescent="0.25">
      <c r="D110" s="188"/>
    </row>
    <row r="111" spans="1:15" x14ac:dyDescent="0.25">
      <c r="B111" s="164" t="s">
        <v>179</v>
      </c>
      <c r="D111" s="188"/>
    </row>
    <row r="112" spans="1:15" x14ac:dyDescent="0.25">
      <c r="A112" s="198" t="s">
        <v>151</v>
      </c>
      <c r="B112" s="435" t="str">
        <f>Предпосылки!B145</f>
        <v>Административный персонал</v>
      </c>
      <c r="D112" s="188" t="str">
        <f>Предпосылки!E145</f>
        <v>чел.</v>
      </c>
      <c r="E112" s="40">
        <f>Предпосылки!G145</f>
        <v>2</v>
      </c>
      <c r="F112" s="40">
        <f>Предпосылки!H145</f>
        <v>3</v>
      </c>
      <c r="G112" s="40">
        <f>Предпосылки!I145</f>
        <v>4</v>
      </c>
      <c r="H112" s="40">
        <f>Предпосылки!J145</f>
        <v>4</v>
      </c>
      <c r="I112" s="40">
        <f>Предпосылки!K145</f>
        <v>4</v>
      </c>
      <c r="J112" s="40">
        <f>Предпосылки!L145</f>
        <v>4</v>
      </c>
      <c r="K112" s="40">
        <f>Предпосылки!M145</f>
        <v>4</v>
      </c>
      <c r="L112" s="40">
        <f>Предпосылки!N145</f>
        <v>4</v>
      </c>
      <c r="M112" s="40">
        <f>Предпосылки!O145</f>
        <v>4</v>
      </c>
      <c r="N112" s="40">
        <f>Предпосылки!P145</f>
        <v>4</v>
      </c>
    </row>
    <row r="113" spans="1:14" x14ac:dyDescent="0.25">
      <c r="A113" s="198" t="s">
        <v>152</v>
      </c>
      <c r="B113" s="435" t="str">
        <f>Предпосылки!B146</f>
        <v>Производственный персонал</v>
      </c>
      <c r="D113" s="188" t="str">
        <f>Предпосылки!E146</f>
        <v>чел.</v>
      </c>
      <c r="E113" s="40">
        <f>Предпосылки!G146</f>
        <v>3</v>
      </c>
      <c r="F113" s="40">
        <f>Предпосылки!H146</f>
        <v>12</v>
      </c>
      <c r="G113" s="40">
        <f>Предпосылки!I146</f>
        <v>24</v>
      </c>
      <c r="H113" s="40">
        <f>Предпосылки!J146</f>
        <v>26</v>
      </c>
      <c r="I113" s="40">
        <f>Предпосылки!K146</f>
        <v>26</v>
      </c>
      <c r="J113" s="40">
        <f>Предпосылки!L146</f>
        <v>26</v>
      </c>
      <c r="K113" s="40">
        <f>Предпосылки!M146</f>
        <v>26</v>
      </c>
      <c r="L113" s="40">
        <f>Предпосылки!N146</f>
        <v>26</v>
      </c>
      <c r="M113" s="40">
        <f>Предпосылки!O146</f>
        <v>26</v>
      </c>
      <c r="N113" s="40">
        <f>Предпосылки!P146</f>
        <v>26</v>
      </c>
    </row>
    <row r="114" spans="1:14" x14ac:dyDescent="0.25">
      <c r="A114" s="198" t="s">
        <v>153</v>
      </c>
      <c r="B114" s="435">
        <f>Предпосылки!B147</f>
        <v>0</v>
      </c>
      <c r="D114" s="188" t="str">
        <f>Предпосылки!E147</f>
        <v>чел.</v>
      </c>
      <c r="E114" s="40">
        <f>Предпосылки!G147</f>
        <v>0</v>
      </c>
      <c r="F114" s="40">
        <f>Предпосылки!H147</f>
        <v>0</v>
      </c>
      <c r="G114" s="40">
        <f>Предпосылки!I147</f>
        <v>0</v>
      </c>
      <c r="H114" s="40">
        <f>Предпосылки!J147</f>
        <v>0</v>
      </c>
      <c r="I114" s="40">
        <f>Предпосылки!K147</f>
        <v>0</v>
      </c>
      <c r="J114" s="40">
        <f>Предпосылки!L147</f>
        <v>0</v>
      </c>
      <c r="K114" s="40">
        <f>Предпосылки!M147</f>
        <v>0</v>
      </c>
      <c r="L114" s="40">
        <f>Предпосылки!N147</f>
        <v>0</v>
      </c>
      <c r="M114" s="40">
        <f>Предпосылки!O147</f>
        <v>0</v>
      </c>
      <c r="N114" s="40">
        <f>Предпосылки!P147</f>
        <v>0</v>
      </c>
    </row>
    <row r="115" spans="1:14" x14ac:dyDescent="0.25">
      <c r="A115" s="198" t="s">
        <v>154</v>
      </c>
      <c r="B115" s="435">
        <f>Предпосылки!B148</f>
        <v>0</v>
      </c>
      <c r="D115" s="188" t="str">
        <f>Предпосылки!E148</f>
        <v>чел.</v>
      </c>
      <c r="E115" s="40">
        <f>Предпосылки!G148</f>
        <v>0</v>
      </c>
      <c r="F115" s="40">
        <f>Предпосылки!H148</f>
        <v>0</v>
      </c>
      <c r="G115" s="40">
        <f>Предпосылки!I148</f>
        <v>0</v>
      </c>
      <c r="H115" s="40">
        <f>Предпосылки!J148</f>
        <v>0</v>
      </c>
      <c r="I115" s="40">
        <f>Предпосылки!K148</f>
        <v>0</v>
      </c>
      <c r="J115" s="40">
        <f>Предпосылки!L148</f>
        <v>0</v>
      </c>
      <c r="K115" s="40">
        <f>Предпосылки!M148</f>
        <v>0</v>
      </c>
      <c r="L115" s="40">
        <f>Предпосылки!N148</f>
        <v>0</v>
      </c>
      <c r="M115" s="40">
        <f>Предпосылки!O148</f>
        <v>0</v>
      </c>
      <c r="N115" s="40">
        <f>Предпосылки!P148</f>
        <v>0</v>
      </c>
    </row>
    <row r="116" spans="1:14" x14ac:dyDescent="0.25">
      <c r="A116" s="198" t="s">
        <v>155</v>
      </c>
      <c r="B116" s="435">
        <f>Предпосылки!B149</f>
        <v>0</v>
      </c>
      <c r="D116" s="188" t="str">
        <f>Предпосылки!E149</f>
        <v>чел.</v>
      </c>
      <c r="E116" s="40">
        <f>Предпосылки!G149</f>
        <v>0</v>
      </c>
      <c r="F116" s="40">
        <f>Предпосылки!H149</f>
        <v>0</v>
      </c>
      <c r="G116" s="40">
        <f>Предпосылки!I149</f>
        <v>0</v>
      </c>
      <c r="H116" s="40">
        <f>Предпосылки!J149</f>
        <v>0</v>
      </c>
      <c r="I116" s="40">
        <f>Предпосылки!K149</f>
        <v>0</v>
      </c>
      <c r="J116" s="40">
        <f>Предпосылки!L149</f>
        <v>0</v>
      </c>
      <c r="K116" s="40">
        <f>Предпосылки!M149</f>
        <v>0</v>
      </c>
      <c r="L116" s="40">
        <f>Предпосылки!N149</f>
        <v>0</v>
      </c>
      <c r="M116" s="40">
        <f>Предпосылки!O149</f>
        <v>0</v>
      </c>
      <c r="N116" s="40">
        <f>Предпосылки!P149</f>
        <v>0</v>
      </c>
    </row>
    <row r="117" spans="1:14" x14ac:dyDescent="0.25">
      <c r="A117" s="198" t="s">
        <v>156</v>
      </c>
      <c r="B117" s="435">
        <f>Предпосылки!B150</f>
        <v>0</v>
      </c>
      <c r="D117" s="188" t="str">
        <f>Предпосылки!E150</f>
        <v>чел.</v>
      </c>
      <c r="E117" s="40">
        <f>Предпосылки!G150</f>
        <v>0</v>
      </c>
      <c r="F117" s="40">
        <f>Предпосылки!H150</f>
        <v>0</v>
      </c>
      <c r="G117" s="40">
        <f>Предпосылки!I150</f>
        <v>0</v>
      </c>
      <c r="H117" s="40">
        <f>Предпосылки!J150</f>
        <v>0</v>
      </c>
      <c r="I117" s="40">
        <f>Предпосылки!K150</f>
        <v>0</v>
      </c>
      <c r="J117" s="40">
        <f>Предпосылки!L150</f>
        <v>0</v>
      </c>
      <c r="K117" s="40">
        <f>Предпосылки!M150</f>
        <v>0</v>
      </c>
      <c r="L117" s="40">
        <f>Предпосылки!N150</f>
        <v>0</v>
      </c>
      <c r="M117" s="40">
        <f>Предпосылки!O150</f>
        <v>0</v>
      </c>
      <c r="N117" s="40">
        <f>Предпосылки!P150</f>
        <v>0</v>
      </c>
    </row>
    <row r="118" spans="1:14" x14ac:dyDescent="0.25">
      <c r="A118" s="198" t="s">
        <v>157</v>
      </c>
      <c r="B118" s="435">
        <f>Предпосылки!B151</f>
        <v>0</v>
      </c>
      <c r="D118" s="188" t="str">
        <f>Предпосылки!E151</f>
        <v>чел.</v>
      </c>
      <c r="E118" s="40">
        <f>Предпосылки!G151</f>
        <v>0</v>
      </c>
      <c r="F118" s="40">
        <f>Предпосылки!H151</f>
        <v>0</v>
      </c>
      <c r="G118" s="40">
        <f>Предпосылки!I151</f>
        <v>0</v>
      </c>
      <c r="H118" s="40">
        <f>Предпосылки!J151</f>
        <v>0</v>
      </c>
      <c r="I118" s="40">
        <f>Предпосылки!K151</f>
        <v>0</v>
      </c>
      <c r="J118" s="40">
        <f>Предпосылки!L151</f>
        <v>0</v>
      </c>
      <c r="K118" s="40">
        <f>Предпосылки!M151</f>
        <v>0</v>
      </c>
      <c r="L118" s="40">
        <f>Предпосылки!N151</f>
        <v>0</v>
      </c>
      <c r="M118" s="40">
        <f>Предпосылки!O151</f>
        <v>0</v>
      </c>
      <c r="N118" s="40">
        <f>Предпосылки!P151</f>
        <v>0</v>
      </c>
    </row>
    <row r="119" spans="1:14" x14ac:dyDescent="0.25">
      <c r="A119" s="198" t="s">
        <v>158</v>
      </c>
      <c r="B119" s="435">
        <f>Предпосылки!B152</f>
        <v>0</v>
      </c>
      <c r="D119" s="188" t="str">
        <f>Предпосылки!E152</f>
        <v>чел.</v>
      </c>
      <c r="E119" s="40">
        <f>Предпосылки!G152</f>
        <v>0</v>
      </c>
      <c r="F119" s="40">
        <f>Предпосылки!H152</f>
        <v>0</v>
      </c>
      <c r="G119" s="40">
        <f>Предпосылки!I152</f>
        <v>0</v>
      </c>
      <c r="H119" s="40">
        <f>Предпосылки!J152</f>
        <v>0</v>
      </c>
      <c r="I119" s="40">
        <f>Предпосылки!K152</f>
        <v>0</v>
      </c>
      <c r="J119" s="40">
        <f>Предпосылки!L152</f>
        <v>0</v>
      </c>
      <c r="K119" s="40">
        <f>Предпосылки!M152</f>
        <v>0</v>
      </c>
      <c r="L119" s="40">
        <f>Предпосылки!N152</f>
        <v>0</v>
      </c>
      <c r="M119" s="40">
        <f>Предпосылки!O152</f>
        <v>0</v>
      </c>
      <c r="N119" s="40">
        <f>Предпосылки!P152</f>
        <v>0</v>
      </c>
    </row>
    <row r="120" spans="1:14" x14ac:dyDescent="0.25">
      <c r="A120" s="198" t="s">
        <v>159</v>
      </c>
      <c r="B120" s="435">
        <f>Предпосылки!B153</f>
        <v>0</v>
      </c>
      <c r="D120" s="188" t="str">
        <f>Предпосылки!E153</f>
        <v>чел.</v>
      </c>
      <c r="E120" s="40">
        <f>Предпосылки!G153</f>
        <v>0</v>
      </c>
      <c r="F120" s="40">
        <f>Предпосылки!H153</f>
        <v>0</v>
      </c>
      <c r="G120" s="40">
        <f>Предпосылки!I153</f>
        <v>0</v>
      </c>
      <c r="H120" s="40">
        <f>Предпосылки!J153</f>
        <v>0</v>
      </c>
      <c r="I120" s="40">
        <f>Предпосылки!K153</f>
        <v>0</v>
      </c>
      <c r="J120" s="40">
        <f>Предпосылки!L153</f>
        <v>0</v>
      </c>
      <c r="K120" s="40">
        <f>Предпосылки!M153</f>
        <v>0</v>
      </c>
      <c r="L120" s="40">
        <f>Предпосылки!N153</f>
        <v>0</v>
      </c>
      <c r="M120" s="40">
        <f>Предпосылки!O153</f>
        <v>0</v>
      </c>
      <c r="N120" s="40">
        <f>Предпосылки!P153</f>
        <v>0</v>
      </c>
    </row>
    <row r="121" spans="1:14" x14ac:dyDescent="0.25">
      <c r="A121" s="198" t="s">
        <v>160</v>
      </c>
      <c r="B121" s="435">
        <f>Предпосылки!B154</f>
        <v>0</v>
      </c>
      <c r="D121" s="188" t="str">
        <f>Предпосылки!E154</f>
        <v>чел.</v>
      </c>
      <c r="E121" s="40">
        <f>Предпосылки!G154</f>
        <v>0</v>
      </c>
      <c r="F121" s="40">
        <f>Предпосылки!H154</f>
        <v>0</v>
      </c>
      <c r="G121" s="40">
        <f>Предпосылки!I154</f>
        <v>0</v>
      </c>
      <c r="H121" s="40">
        <f>Предпосылки!J154</f>
        <v>0</v>
      </c>
      <c r="I121" s="40">
        <f>Предпосылки!K154</f>
        <v>0</v>
      </c>
      <c r="J121" s="40">
        <f>Предпосылки!L154</f>
        <v>0</v>
      </c>
      <c r="K121" s="40">
        <f>Предпосылки!M154</f>
        <v>0</v>
      </c>
      <c r="L121" s="40">
        <f>Предпосылки!N154</f>
        <v>0</v>
      </c>
      <c r="M121" s="40">
        <f>Предпосылки!O154</f>
        <v>0</v>
      </c>
      <c r="N121" s="40">
        <f>Предпосылки!P154</f>
        <v>0</v>
      </c>
    </row>
    <row r="122" spans="1:14" x14ac:dyDescent="0.25">
      <c r="A122" s="198" t="s">
        <v>168</v>
      </c>
      <c r="B122" s="435">
        <f>Предпосылки!B155</f>
        <v>0</v>
      </c>
      <c r="D122" s="188" t="str">
        <f>Предпосылки!E155</f>
        <v>чел.</v>
      </c>
      <c r="E122" s="40">
        <f>Предпосылки!G155</f>
        <v>0</v>
      </c>
      <c r="F122" s="40">
        <f>Предпосылки!H155</f>
        <v>0</v>
      </c>
      <c r="G122" s="40">
        <f>Предпосылки!I155</f>
        <v>0</v>
      </c>
      <c r="H122" s="40">
        <f>Предпосылки!J155</f>
        <v>0</v>
      </c>
      <c r="I122" s="40">
        <f>Предпосылки!K155</f>
        <v>0</v>
      </c>
      <c r="J122" s="40">
        <f>Предпосылки!L155</f>
        <v>0</v>
      </c>
      <c r="K122" s="40">
        <f>Предпосылки!M155</f>
        <v>0</v>
      </c>
      <c r="L122" s="40">
        <f>Предпосылки!N155</f>
        <v>0</v>
      </c>
      <c r="M122" s="40">
        <f>Предпосылки!O155</f>
        <v>0</v>
      </c>
      <c r="N122" s="40">
        <f>Предпосылки!P155</f>
        <v>0</v>
      </c>
    </row>
    <row r="123" spans="1:14" x14ac:dyDescent="0.25">
      <c r="A123" s="198" t="s">
        <v>169</v>
      </c>
      <c r="B123" s="435">
        <f>Предпосылки!B156</f>
        <v>0</v>
      </c>
      <c r="D123" s="188" t="str">
        <f>Предпосылки!E156</f>
        <v>чел.</v>
      </c>
      <c r="E123" s="40">
        <f>Предпосылки!G156</f>
        <v>0</v>
      </c>
      <c r="F123" s="40">
        <f>Предпосылки!H156</f>
        <v>0</v>
      </c>
      <c r="G123" s="40">
        <f>Предпосылки!I156</f>
        <v>0</v>
      </c>
      <c r="H123" s="40">
        <f>Предпосылки!J156</f>
        <v>0</v>
      </c>
      <c r="I123" s="40">
        <f>Предпосылки!K156</f>
        <v>0</v>
      </c>
      <c r="J123" s="40">
        <f>Предпосылки!L156</f>
        <v>0</v>
      </c>
      <c r="K123" s="40">
        <f>Предпосылки!M156</f>
        <v>0</v>
      </c>
      <c r="L123" s="40">
        <f>Предпосылки!N156</f>
        <v>0</v>
      </c>
      <c r="M123" s="40">
        <f>Предпосылки!O156</f>
        <v>0</v>
      </c>
      <c r="N123" s="40">
        <f>Предпосылки!P156</f>
        <v>0</v>
      </c>
    </row>
    <row r="124" spans="1:14" x14ac:dyDescent="0.25">
      <c r="A124" s="198" t="s">
        <v>170</v>
      </c>
      <c r="B124" s="435">
        <f>Предпосылки!B157</f>
        <v>0</v>
      </c>
      <c r="D124" s="188" t="str">
        <f>Предпосылки!E157</f>
        <v>чел.</v>
      </c>
      <c r="E124" s="40">
        <f>Предпосылки!G157</f>
        <v>0</v>
      </c>
      <c r="F124" s="40">
        <f>Предпосылки!H157</f>
        <v>0</v>
      </c>
      <c r="G124" s="40">
        <f>Предпосылки!I157</f>
        <v>0</v>
      </c>
      <c r="H124" s="40">
        <f>Предпосылки!J157</f>
        <v>0</v>
      </c>
      <c r="I124" s="40">
        <f>Предпосылки!K157</f>
        <v>0</v>
      </c>
      <c r="J124" s="40">
        <f>Предпосылки!L157</f>
        <v>0</v>
      </c>
      <c r="K124" s="40">
        <f>Предпосылки!M157</f>
        <v>0</v>
      </c>
      <c r="L124" s="40">
        <f>Предпосылки!N157</f>
        <v>0</v>
      </c>
      <c r="M124" s="40">
        <f>Предпосылки!O157</f>
        <v>0</v>
      </c>
      <c r="N124" s="40">
        <f>Предпосылки!P157</f>
        <v>0</v>
      </c>
    </row>
    <row r="125" spans="1:14" x14ac:dyDescent="0.25">
      <c r="A125" s="198" t="s">
        <v>171</v>
      </c>
      <c r="B125" s="435">
        <f>Предпосылки!B158</f>
        <v>0</v>
      </c>
      <c r="D125" s="188" t="str">
        <f>Предпосылки!E158</f>
        <v>чел.</v>
      </c>
      <c r="E125" s="40">
        <f>Предпосылки!G158</f>
        <v>0</v>
      </c>
      <c r="F125" s="40">
        <f>Предпосылки!H158</f>
        <v>0</v>
      </c>
      <c r="G125" s="40">
        <f>Предпосылки!I158</f>
        <v>0</v>
      </c>
      <c r="H125" s="40">
        <f>Предпосылки!J158</f>
        <v>0</v>
      </c>
      <c r="I125" s="40">
        <f>Предпосылки!K158</f>
        <v>0</v>
      </c>
      <c r="J125" s="40">
        <f>Предпосылки!L158</f>
        <v>0</v>
      </c>
      <c r="K125" s="40">
        <f>Предпосылки!M158</f>
        <v>0</v>
      </c>
      <c r="L125" s="40">
        <f>Предпосылки!N158</f>
        <v>0</v>
      </c>
      <c r="M125" s="40">
        <f>Предпосылки!O158</f>
        <v>0</v>
      </c>
      <c r="N125" s="40">
        <f>Предпосылки!P158</f>
        <v>0</v>
      </c>
    </row>
    <row r="126" spans="1:14" x14ac:dyDescent="0.25">
      <c r="A126" s="198" t="s">
        <v>172</v>
      </c>
      <c r="B126" s="435">
        <f>Предпосылки!B159</f>
        <v>0</v>
      </c>
      <c r="D126" s="188" t="str">
        <f>Предпосылки!E159</f>
        <v>чел.</v>
      </c>
      <c r="E126" s="40">
        <f>Предпосылки!G159</f>
        <v>0</v>
      </c>
      <c r="F126" s="40">
        <f>Предпосылки!H159</f>
        <v>0</v>
      </c>
      <c r="G126" s="40">
        <f>Предпосылки!I159</f>
        <v>0</v>
      </c>
      <c r="H126" s="40">
        <f>Предпосылки!J159</f>
        <v>0</v>
      </c>
      <c r="I126" s="40">
        <f>Предпосылки!K159</f>
        <v>0</v>
      </c>
      <c r="J126" s="40">
        <f>Предпосылки!L159</f>
        <v>0</v>
      </c>
      <c r="K126" s="40">
        <f>Предпосылки!M159</f>
        <v>0</v>
      </c>
      <c r="L126" s="40">
        <f>Предпосылки!N159</f>
        <v>0</v>
      </c>
      <c r="M126" s="40">
        <f>Предпосылки!O159</f>
        <v>0</v>
      </c>
      <c r="N126" s="40">
        <f>Предпосылки!P159</f>
        <v>0</v>
      </c>
    </row>
    <row r="127" spans="1:14" x14ac:dyDescent="0.25">
      <c r="A127" s="198" t="s">
        <v>173</v>
      </c>
      <c r="B127" s="435">
        <f>Предпосылки!B160</f>
        <v>0</v>
      </c>
      <c r="D127" s="188" t="str">
        <f>Предпосылки!E160</f>
        <v>чел.</v>
      </c>
      <c r="E127" s="40">
        <f>Предпосылки!G160</f>
        <v>0</v>
      </c>
      <c r="F127" s="40">
        <f>Предпосылки!H160</f>
        <v>0</v>
      </c>
      <c r="G127" s="40">
        <f>Предпосылки!I160</f>
        <v>0</v>
      </c>
      <c r="H127" s="40">
        <f>Предпосылки!J160</f>
        <v>0</v>
      </c>
      <c r="I127" s="40">
        <f>Предпосылки!K160</f>
        <v>0</v>
      </c>
      <c r="J127" s="40">
        <f>Предпосылки!L160</f>
        <v>0</v>
      </c>
      <c r="K127" s="40">
        <f>Предпосылки!M160</f>
        <v>0</v>
      </c>
      <c r="L127" s="40">
        <f>Предпосылки!N160</f>
        <v>0</v>
      </c>
      <c r="M127" s="40">
        <f>Предпосылки!O160</f>
        <v>0</v>
      </c>
      <c r="N127" s="40">
        <f>Предпосылки!P160</f>
        <v>0</v>
      </c>
    </row>
    <row r="128" spans="1:14" x14ac:dyDescent="0.25">
      <c r="A128" s="198" t="s">
        <v>174</v>
      </c>
      <c r="B128" s="435">
        <f>Предпосылки!B161</f>
        <v>0</v>
      </c>
      <c r="D128" s="188" t="str">
        <f>Предпосылки!E161</f>
        <v>чел.</v>
      </c>
      <c r="E128" s="40">
        <f>Предпосылки!G161</f>
        <v>0</v>
      </c>
      <c r="F128" s="40">
        <f>Предпосылки!H161</f>
        <v>0</v>
      </c>
      <c r="G128" s="40">
        <f>Предпосылки!I161</f>
        <v>0</v>
      </c>
      <c r="H128" s="40">
        <f>Предпосылки!J161</f>
        <v>0</v>
      </c>
      <c r="I128" s="40">
        <f>Предпосылки!K161</f>
        <v>0</v>
      </c>
      <c r="J128" s="40">
        <f>Предпосылки!L161</f>
        <v>0</v>
      </c>
      <c r="K128" s="40">
        <f>Предпосылки!M161</f>
        <v>0</v>
      </c>
      <c r="L128" s="40">
        <f>Предпосылки!N161</f>
        <v>0</v>
      </c>
      <c r="M128" s="40">
        <f>Предпосылки!O161</f>
        <v>0</v>
      </c>
      <c r="N128" s="40">
        <f>Предпосылки!P161</f>
        <v>0</v>
      </c>
    </row>
    <row r="129" spans="1:14" x14ac:dyDescent="0.25">
      <c r="A129" s="198" t="s">
        <v>175</v>
      </c>
      <c r="B129" s="435">
        <f>Предпосылки!B162</f>
        <v>0</v>
      </c>
      <c r="D129" s="188" t="str">
        <f>Предпосылки!E162</f>
        <v>чел.</v>
      </c>
      <c r="E129" s="40">
        <f>Предпосылки!G162</f>
        <v>0</v>
      </c>
      <c r="F129" s="40">
        <f>Предпосылки!H162</f>
        <v>0</v>
      </c>
      <c r="G129" s="40">
        <f>Предпосылки!I162</f>
        <v>0</v>
      </c>
      <c r="H129" s="40">
        <f>Предпосылки!J162</f>
        <v>0</v>
      </c>
      <c r="I129" s="40">
        <f>Предпосылки!K162</f>
        <v>0</v>
      </c>
      <c r="J129" s="40">
        <f>Предпосылки!L162</f>
        <v>0</v>
      </c>
      <c r="K129" s="40">
        <f>Предпосылки!M162</f>
        <v>0</v>
      </c>
      <c r="L129" s="40">
        <f>Предпосылки!N162</f>
        <v>0</v>
      </c>
      <c r="M129" s="40">
        <f>Предпосылки!O162</f>
        <v>0</v>
      </c>
      <c r="N129" s="40">
        <f>Предпосылки!P162</f>
        <v>0</v>
      </c>
    </row>
    <row r="130" spans="1:14" x14ac:dyDescent="0.25">
      <c r="A130" s="198" t="s">
        <v>176</v>
      </c>
      <c r="B130" s="435">
        <f>Предпосылки!B163</f>
        <v>0</v>
      </c>
      <c r="D130" s="188" t="str">
        <f>Предпосылки!E163</f>
        <v>чел.</v>
      </c>
      <c r="E130" s="40">
        <f>Предпосылки!G163</f>
        <v>0</v>
      </c>
      <c r="F130" s="40">
        <f>Предпосылки!H163</f>
        <v>0</v>
      </c>
      <c r="G130" s="40">
        <f>Предпосылки!I163</f>
        <v>0</v>
      </c>
      <c r="H130" s="40">
        <f>Предпосылки!J163</f>
        <v>0</v>
      </c>
      <c r="I130" s="40">
        <f>Предпосылки!K163</f>
        <v>0</v>
      </c>
      <c r="J130" s="40">
        <f>Предпосылки!L163</f>
        <v>0</v>
      </c>
      <c r="K130" s="40">
        <f>Предпосылки!M163</f>
        <v>0</v>
      </c>
      <c r="L130" s="40">
        <f>Предпосылки!N163</f>
        <v>0</v>
      </c>
      <c r="M130" s="40">
        <f>Предпосылки!O163</f>
        <v>0</v>
      </c>
      <c r="N130" s="40">
        <f>Предпосылки!P163</f>
        <v>0</v>
      </c>
    </row>
    <row r="131" spans="1:14" x14ac:dyDescent="0.25">
      <c r="A131" s="198" t="s">
        <v>177</v>
      </c>
      <c r="B131" s="435">
        <f>Предпосылки!B164</f>
        <v>0</v>
      </c>
      <c r="D131" s="188" t="str">
        <f>Предпосылки!E164</f>
        <v>чел.</v>
      </c>
      <c r="E131" s="40">
        <f>Предпосылки!G164</f>
        <v>0</v>
      </c>
      <c r="F131" s="40">
        <f>Предпосылки!H164</f>
        <v>0</v>
      </c>
      <c r="G131" s="40">
        <f>Предпосылки!I164</f>
        <v>0</v>
      </c>
      <c r="H131" s="40">
        <f>Предпосылки!J164</f>
        <v>0</v>
      </c>
      <c r="I131" s="40">
        <f>Предпосылки!K164</f>
        <v>0</v>
      </c>
      <c r="J131" s="40">
        <f>Предпосылки!L164</f>
        <v>0</v>
      </c>
      <c r="K131" s="40">
        <f>Предпосылки!M164</f>
        <v>0</v>
      </c>
      <c r="L131" s="40">
        <f>Предпосылки!N164</f>
        <v>0</v>
      </c>
      <c r="M131" s="40">
        <f>Предпосылки!O164</f>
        <v>0</v>
      </c>
      <c r="N131" s="40">
        <f>Предпосылки!P164</f>
        <v>0</v>
      </c>
    </row>
    <row r="132" spans="1:14" x14ac:dyDescent="0.25">
      <c r="D132" s="188"/>
    </row>
    <row r="133" spans="1:14" x14ac:dyDescent="0.25">
      <c r="B133" s="164" t="s">
        <v>217</v>
      </c>
      <c r="D133" s="188"/>
    </row>
    <row r="134" spans="1:14" x14ac:dyDescent="0.25">
      <c r="A134" s="198" t="s">
        <v>151</v>
      </c>
      <c r="B134" s="435" t="str">
        <f>Предпосылки!B169</f>
        <v>Административный персонал</v>
      </c>
      <c r="D134" s="188" t="s">
        <v>189</v>
      </c>
      <c r="E134" s="40">
        <f>Предпосылки!$G$169*Предпосылки!$G$34*E4</f>
        <v>428.40000000000003</v>
      </c>
      <c r="F134" s="40">
        <f>Предпосылки!$G$169*Предпосылки!$G$34*F4</f>
        <v>458.38800000000009</v>
      </c>
      <c r="G134" s="40">
        <f>Предпосылки!$G$169*Предпосылки!$G$34*G4</f>
        <v>489.09999600000003</v>
      </c>
      <c r="H134" s="40">
        <f>Предпосылки!$G$169*Предпосылки!$G$34*H4</f>
        <v>519.42419575200006</v>
      </c>
      <c r="I134" s="40">
        <f>Предпосылки!$G$169*Предпосылки!$G$34*I4</f>
        <v>540.20116358208008</v>
      </c>
      <c r="J134" s="40">
        <f>Предпосылки!$G$169*Предпосылки!$G$34*J4</f>
        <v>561.80921012536328</v>
      </c>
      <c r="K134" s="40">
        <f>Предпосылки!$G$169*Предпосылки!$G$34*K4</f>
        <v>584.28157853037783</v>
      </c>
      <c r="L134" s="40">
        <f>Предпосылки!$G$169*Предпосылки!$G$34*L4</f>
        <v>607.65284167159291</v>
      </c>
      <c r="M134" s="40">
        <f>Предпосылки!$G$169*Предпосылки!$G$34*M4</f>
        <v>631.95895533845658</v>
      </c>
      <c r="N134" s="40">
        <f>Предпосылки!$G$169*Предпосылки!$G$34*N4</f>
        <v>657.23731355199493</v>
      </c>
    </row>
    <row r="135" spans="1:14" x14ac:dyDescent="0.25">
      <c r="A135" s="198" t="s">
        <v>152</v>
      </c>
      <c r="B135" s="435" t="str">
        <f>Предпосылки!B170</f>
        <v>Производственный персонал</v>
      </c>
      <c r="D135" s="188" t="s">
        <v>189</v>
      </c>
      <c r="E135" s="40">
        <f>Предпосылки!$G$170*Предпосылки!$G$34*E4</f>
        <v>284.76000000000005</v>
      </c>
      <c r="F135" s="40">
        <f>Предпосылки!$G$170*Предпосылки!$G$34*F4</f>
        <v>304.6932000000001</v>
      </c>
      <c r="G135" s="40">
        <f>Предпосылки!$G$170*Предпосылки!$G$34*G4</f>
        <v>325.10764440000008</v>
      </c>
      <c r="H135" s="40">
        <f>Предпосылки!$G$170*Предпосылки!$G$34*H4</f>
        <v>345.2643183528001</v>
      </c>
      <c r="I135" s="40">
        <f>Предпосылки!$G$170*Предпосылки!$G$34*I4</f>
        <v>359.07489108691209</v>
      </c>
      <c r="J135" s="40">
        <f>Предпосылки!$G$170*Предпосылки!$G$34*J4</f>
        <v>373.43788673038858</v>
      </c>
      <c r="K135" s="40">
        <f>Предпосылки!$G$170*Предпосылки!$G$34*K4</f>
        <v>388.37540219960414</v>
      </c>
      <c r="L135" s="40">
        <f>Предпосылки!$G$170*Предпосылки!$G$34*L4</f>
        <v>403.9104182875883</v>
      </c>
      <c r="M135" s="40">
        <f>Предпосылки!$G$170*Предпосылки!$G$34*M4</f>
        <v>420.06683501909185</v>
      </c>
      <c r="N135" s="40">
        <f>Предпосылки!$G$170*Предпосылки!$G$34*N4</f>
        <v>436.86950841985549</v>
      </c>
    </row>
    <row r="136" spans="1:14" x14ac:dyDescent="0.25">
      <c r="A136" s="198" t="s">
        <v>153</v>
      </c>
      <c r="B136" s="435">
        <f>Предпосылки!B171</f>
        <v>0</v>
      </c>
      <c r="D136" s="188" t="s">
        <v>189</v>
      </c>
      <c r="E136" s="40">
        <f>Предпосылки!$G$171*Предпосылки!$G$34*E4</f>
        <v>0</v>
      </c>
      <c r="F136" s="40">
        <f>Предпосылки!$G$171*Предпосылки!$G$34*F4</f>
        <v>0</v>
      </c>
      <c r="G136" s="40">
        <f>Предпосылки!$G$171*Предпосылки!$G$34*G4</f>
        <v>0</v>
      </c>
      <c r="H136" s="40">
        <f>Предпосылки!$G$171*Предпосылки!$G$34*H4</f>
        <v>0</v>
      </c>
      <c r="I136" s="40">
        <f>Предпосылки!$G$171*Предпосылки!$G$34*I4</f>
        <v>0</v>
      </c>
      <c r="J136" s="40">
        <f>Предпосылки!$G$171*Предпосылки!$G$34*J4</f>
        <v>0</v>
      </c>
      <c r="K136" s="40">
        <f>Предпосылки!$G$171*Предпосылки!$G$34*K4</f>
        <v>0</v>
      </c>
      <c r="L136" s="40">
        <f>Предпосылки!$G$171*Предпосылки!$G$34*L4</f>
        <v>0</v>
      </c>
      <c r="M136" s="40">
        <f>Предпосылки!$G$171*Предпосылки!$G$34*M4</f>
        <v>0</v>
      </c>
      <c r="N136" s="40">
        <f>Предпосылки!$G$171*Предпосылки!$G$34*N4</f>
        <v>0</v>
      </c>
    </row>
    <row r="137" spans="1:14" x14ac:dyDescent="0.25">
      <c r="A137" s="198" t="s">
        <v>154</v>
      </c>
      <c r="B137" s="435">
        <f>Предпосылки!B172</f>
        <v>0</v>
      </c>
      <c r="D137" s="188" t="s">
        <v>189</v>
      </c>
      <c r="E137" s="40">
        <f>Предпосылки!$G$172*Предпосылки!$G$34*E4</f>
        <v>0</v>
      </c>
      <c r="F137" s="40">
        <f>Предпосылки!$G$172*Предпосылки!$G$34*F4</f>
        <v>0</v>
      </c>
      <c r="G137" s="40">
        <f>Предпосылки!$G$172*Предпосылки!$G$34*G4</f>
        <v>0</v>
      </c>
      <c r="H137" s="40">
        <f>Предпосылки!$G$172*Предпосылки!$G$34*H4</f>
        <v>0</v>
      </c>
      <c r="I137" s="40">
        <f>Предпосылки!$G$172*Предпосылки!$G$34*I4</f>
        <v>0</v>
      </c>
      <c r="J137" s="40">
        <f>Предпосылки!$G$172*Предпосылки!$G$34*J4</f>
        <v>0</v>
      </c>
      <c r="K137" s="40">
        <f>Предпосылки!$G$172*Предпосылки!$G$34*K4</f>
        <v>0</v>
      </c>
      <c r="L137" s="40">
        <f>Предпосылки!$G$172*Предпосылки!$G$34*L4</f>
        <v>0</v>
      </c>
      <c r="M137" s="40">
        <f>Предпосылки!$G$172*Предпосылки!$G$34*M4</f>
        <v>0</v>
      </c>
      <c r="N137" s="40">
        <f>Предпосылки!$G$172*Предпосылки!$G$34*N4</f>
        <v>0</v>
      </c>
    </row>
    <row r="138" spans="1:14" x14ac:dyDescent="0.25">
      <c r="A138" s="198" t="s">
        <v>155</v>
      </c>
      <c r="B138" s="435">
        <f>Предпосылки!B173</f>
        <v>0</v>
      </c>
      <c r="D138" s="188" t="s">
        <v>189</v>
      </c>
      <c r="E138" s="40">
        <f>Предпосылки!$G$173*Предпосылки!$G$34*E4</f>
        <v>0</v>
      </c>
      <c r="F138" s="40">
        <f>Предпосылки!$G$173*Предпосылки!$G$34*F4</f>
        <v>0</v>
      </c>
      <c r="G138" s="40">
        <f>Предпосылки!$G$173*Предпосылки!$G$34*G4</f>
        <v>0</v>
      </c>
      <c r="H138" s="40">
        <f>Предпосылки!$G$173*Предпосылки!$G$34*H4</f>
        <v>0</v>
      </c>
      <c r="I138" s="40">
        <f>Предпосылки!$G$173*Предпосылки!$G$34*I4</f>
        <v>0</v>
      </c>
      <c r="J138" s="40">
        <f>Предпосылки!$G$173*Предпосылки!$G$34*J4</f>
        <v>0</v>
      </c>
      <c r="K138" s="40">
        <f>Предпосылки!$G$173*Предпосылки!$G$34*K4</f>
        <v>0</v>
      </c>
      <c r="L138" s="40">
        <f>Предпосылки!$G$173*Предпосылки!$G$34*L4</f>
        <v>0</v>
      </c>
      <c r="M138" s="40">
        <f>Предпосылки!$G$173*Предпосылки!$G$34*M4</f>
        <v>0</v>
      </c>
      <c r="N138" s="40">
        <f>Предпосылки!$G$173*Предпосылки!$G$34*N4</f>
        <v>0</v>
      </c>
    </row>
    <row r="139" spans="1:14" x14ac:dyDescent="0.25">
      <c r="A139" s="198" t="s">
        <v>156</v>
      </c>
      <c r="B139" s="435">
        <f>Предпосылки!B174</f>
        <v>0</v>
      </c>
      <c r="D139" s="188" t="s">
        <v>189</v>
      </c>
      <c r="E139" s="40">
        <f>Предпосылки!$G$174*Предпосылки!$G$34*E4</f>
        <v>0</v>
      </c>
      <c r="F139" s="40">
        <f>Предпосылки!$G$174*Предпосылки!$G$34*F4</f>
        <v>0</v>
      </c>
      <c r="G139" s="40">
        <f>Предпосылки!$G$174*Предпосылки!$G$34*G4</f>
        <v>0</v>
      </c>
      <c r="H139" s="40">
        <f>Предпосылки!$G$174*Предпосылки!$G$34*H4</f>
        <v>0</v>
      </c>
      <c r="I139" s="40">
        <f>Предпосылки!$G$174*Предпосылки!$G$34*I4</f>
        <v>0</v>
      </c>
      <c r="J139" s="40">
        <f>Предпосылки!$G$174*Предпосылки!$G$34*J4</f>
        <v>0</v>
      </c>
      <c r="K139" s="40">
        <f>Предпосылки!$G$174*Предпосылки!$G$34*K4</f>
        <v>0</v>
      </c>
      <c r="L139" s="40">
        <f>Предпосылки!$G$174*Предпосылки!$G$34*L4</f>
        <v>0</v>
      </c>
      <c r="M139" s="40">
        <f>Предпосылки!$G$174*Предпосылки!$G$34*M4</f>
        <v>0</v>
      </c>
      <c r="N139" s="40">
        <f>Предпосылки!$G$174*Предпосылки!$G$34*N4</f>
        <v>0</v>
      </c>
    </row>
    <row r="140" spans="1:14" x14ac:dyDescent="0.25">
      <c r="A140" s="198" t="s">
        <v>157</v>
      </c>
      <c r="B140" s="435">
        <f>Предпосылки!B175</f>
        <v>0</v>
      </c>
      <c r="D140" s="188" t="s">
        <v>189</v>
      </c>
      <c r="E140" s="40">
        <f>Предпосылки!$G$175*Предпосылки!$G$34*E4</f>
        <v>0</v>
      </c>
      <c r="F140" s="40">
        <f>Предпосылки!$G$175*Предпосылки!$G$34*F4</f>
        <v>0</v>
      </c>
      <c r="G140" s="40">
        <f>Предпосылки!$G$175*Предпосылки!$G$34*G4</f>
        <v>0</v>
      </c>
      <c r="H140" s="40">
        <f>Предпосылки!$G$175*Предпосылки!$G$34*H4</f>
        <v>0</v>
      </c>
      <c r="I140" s="40">
        <f>Предпосылки!$G$175*Предпосылки!$G$34*I4</f>
        <v>0</v>
      </c>
      <c r="J140" s="40">
        <f>Предпосылки!$G$175*Предпосылки!$G$34*J4</f>
        <v>0</v>
      </c>
      <c r="K140" s="40">
        <f>Предпосылки!$G$175*Предпосылки!$G$34*K4</f>
        <v>0</v>
      </c>
      <c r="L140" s="40">
        <f>Предпосылки!$G$175*Предпосылки!$G$34*L4</f>
        <v>0</v>
      </c>
      <c r="M140" s="40">
        <f>Предпосылки!$G$175*Предпосылки!$G$34*M4</f>
        <v>0</v>
      </c>
      <c r="N140" s="40">
        <f>Предпосылки!$G$175*Предпосылки!$G$34*N4</f>
        <v>0</v>
      </c>
    </row>
    <row r="141" spans="1:14" x14ac:dyDescent="0.25">
      <c r="A141" s="198" t="s">
        <v>158</v>
      </c>
      <c r="B141" s="435">
        <f>Предпосылки!B176</f>
        <v>0</v>
      </c>
      <c r="D141" s="188" t="s">
        <v>189</v>
      </c>
      <c r="E141" s="40">
        <f>Предпосылки!$G$176*Предпосылки!$G$34*E4</f>
        <v>0</v>
      </c>
      <c r="F141" s="40">
        <f>Предпосылки!$G$176*Предпосылки!$G$34*F4</f>
        <v>0</v>
      </c>
      <c r="G141" s="40">
        <f>Предпосылки!$G$176*Предпосылки!$G$34*G4</f>
        <v>0</v>
      </c>
      <c r="H141" s="40">
        <f>Предпосылки!$G$176*Предпосылки!$G$34*H4</f>
        <v>0</v>
      </c>
      <c r="I141" s="40">
        <f>Предпосылки!$G$176*Предпосылки!$G$34*I4</f>
        <v>0</v>
      </c>
      <c r="J141" s="40">
        <f>Предпосылки!$G$176*Предпосылки!$G$34*J4</f>
        <v>0</v>
      </c>
      <c r="K141" s="40">
        <f>Предпосылки!$G$176*Предпосылки!$G$34*K4</f>
        <v>0</v>
      </c>
      <c r="L141" s="40">
        <f>Предпосылки!$G$176*Предпосылки!$G$34*L4</f>
        <v>0</v>
      </c>
      <c r="M141" s="40">
        <f>Предпосылки!$G$176*Предпосылки!$G$34*M4</f>
        <v>0</v>
      </c>
      <c r="N141" s="40">
        <f>Предпосылки!$G$176*Предпосылки!$G$34*N4</f>
        <v>0</v>
      </c>
    </row>
    <row r="142" spans="1:14" x14ac:dyDescent="0.25">
      <c r="A142" s="198" t="s">
        <v>159</v>
      </c>
      <c r="B142" s="435">
        <f>Предпосылки!B177</f>
        <v>0</v>
      </c>
      <c r="D142" s="188" t="s">
        <v>189</v>
      </c>
      <c r="E142" s="40">
        <f>Предпосылки!$G$177*Предпосылки!$G$34*E4</f>
        <v>0</v>
      </c>
      <c r="F142" s="40">
        <f>Предпосылки!$G$177*Предпосылки!$G$34*F4</f>
        <v>0</v>
      </c>
      <c r="G142" s="40">
        <f>Предпосылки!$G$177*Предпосылки!$G$34*G4</f>
        <v>0</v>
      </c>
      <c r="H142" s="40">
        <f>Предпосылки!$G$177*Предпосылки!$G$34*H4</f>
        <v>0</v>
      </c>
      <c r="I142" s="40">
        <f>Предпосылки!$G$177*Предпосылки!$G$34*I4</f>
        <v>0</v>
      </c>
      <c r="J142" s="40">
        <f>Предпосылки!$G$177*Предпосылки!$G$34*J4</f>
        <v>0</v>
      </c>
      <c r="K142" s="40">
        <f>Предпосылки!$G$177*Предпосылки!$G$34*K4</f>
        <v>0</v>
      </c>
      <c r="L142" s="40">
        <f>Предпосылки!$G$177*Предпосылки!$G$34*L4</f>
        <v>0</v>
      </c>
      <c r="M142" s="40">
        <f>Предпосылки!$G$177*Предпосылки!$G$34*M4</f>
        <v>0</v>
      </c>
      <c r="N142" s="40">
        <f>Предпосылки!$G$177*Предпосылки!$G$34*N4</f>
        <v>0</v>
      </c>
    </row>
    <row r="143" spans="1:14" x14ac:dyDescent="0.25">
      <c r="A143" s="198" t="s">
        <v>160</v>
      </c>
      <c r="B143" s="435">
        <f>Предпосылки!B178</f>
        <v>0</v>
      </c>
      <c r="D143" s="188" t="s">
        <v>189</v>
      </c>
      <c r="E143" s="40">
        <f>Предпосылки!$G$178*Предпосылки!$G$34*E4</f>
        <v>0</v>
      </c>
      <c r="F143" s="40">
        <f>Предпосылки!$G$178*Предпосылки!$G$34*F4</f>
        <v>0</v>
      </c>
      <c r="G143" s="40">
        <f>Предпосылки!$G$178*Предпосылки!$G$34*G4</f>
        <v>0</v>
      </c>
      <c r="H143" s="40">
        <f>Предпосылки!$G$178*Предпосылки!$G$34*H4</f>
        <v>0</v>
      </c>
      <c r="I143" s="40">
        <f>Предпосылки!$G$178*Предпосылки!$G$34*I4</f>
        <v>0</v>
      </c>
      <c r="J143" s="40">
        <f>Предпосылки!$G$178*Предпосылки!$G$34*J4</f>
        <v>0</v>
      </c>
      <c r="K143" s="40">
        <f>Предпосылки!$G$178*Предпосылки!$G$34*K4</f>
        <v>0</v>
      </c>
      <c r="L143" s="40">
        <f>Предпосылки!$G$178*Предпосылки!$G$34*L4</f>
        <v>0</v>
      </c>
      <c r="M143" s="40">
        <f>Предпосылки!$G$178*Предпосылки!$G$34*M4</f>
        <v>0</v>
      </c>
      <c r="N143" s="40">
        <f>Предпосылки!$G$178*Предпосылки!$G$34*N4</f>
        <v>0</v>
      </c>
    </row>
    <row r="144" spans="1:14" x14ac:dyDescent="0.25">
      <c r="A144" s="198" t="s">
        <v>168</v>
      </c>
      <c r="B144" s="435">
        <f>Предпосылки!B179</f>
        <v>0</v>
      </c>
      <c r="D144" s="188" t="s">
        <v>189</v>
      </c>
      <c r="E144" s="40">
        <f>Предпосылки!$G$179*Предпосылки!$G$34*E4</f>
        <v>0</v>
      </c>
      <c r="F144" s="40">
        <f>Предпосылки!$G$179*Предпосылки!$G$34*F4</f>
        <v>0</v>
      </c>
      <c r="G144" s="40">
        <f>Предпосылки!$G$179*Предпосылки!$G$34*G4</f>
        <v>0</v>
      </c>
      <c r="H144" s="40">
        <f>Предпосылки!$G$179*Предпосылки!$G$34*H4</f>
        <v>0</v>
      </c>
      <c r="I144" s="40">
        <f>Предпосылки!$G$179*Предпосылки!$G$34*I4</f>
        <v>0</v>
      </c>
      <c r="J144" s="40">
        <f>Предпосылки!$G$179*Предпосылки!$G$34*J4</f>
        <v>0</v>
      </c>
      <c r="K144" s="40">
        <f>Предпосылки!$G$179*Предпосылки!$G$34*K4</f>
        <v>0</v>
      </c>
      <c r="L144" s="40">
        <f>Предпосылки!$G$179*Предпосылки!$G$34*L4</f>
        <v>0</v>
      </c>
      <c r="M144" s="40">
        <f>Предпосылки!$G$179*Предпосылки!$G$34*M4</f>
        <v>0</v>
      </c>
      <c r="N144" s="40">
        <f>Предпосылки!$G$179*Предпосылки!$G$34*N4</f>
        <v>0</v>
      </c>
    </row>
    <row r="145" spans="1:15" x14ac:dyDescent="0.25">
      <c r="A145" s="198" t="s">
        <v>169</v>
      </c>
      <c r="B145" s="435">
        <f>Предпосылки!B180</f>
        <v>0</v>
      </c>
      <c r="D145" s="188" t="s">
        <v>189</v>
      </c>
      <c r="E145" s="40">
        <f>Предпосылки!$G$180*Предпосылки!$G$34*'Доходы и расходы'!E4</f>
        <v>0</v>
      </c>
      <c r="F145" s="40">
        <f>Предпосылки!$G$180*Предпосылки!$G$34*'Доходы и расходы'!F4</f>
        <v>0</v>
      </c>
      <c r="G145" s="40">
        <f>Предпосылки!$G$180*Предпосылки!$G$34*'Доходы и расходы'!G4</f>
        <v>0</v>
      </c>
      <c r="H145" s="40">
        <f>Предпосылки!$G$180*Предпосылки!$G$34*'Доходы и расходы'!H4</f>
        <v>0</v>
      </c>
      <c r="I145" s="40">
        <f>Предпосылки!$G$180*Предпосылки!$G$34*'Доходы и расходы'!I4</f>
        <v>0</v>
      </c>
      <c r="J145" s="40">
        <f>Предпосылки!$G$180*Предпосылки!$G$34*'Доходы и расходы'!J4</f>
        <v>0</v>
      </c>
      <c r="K145" s="40">
        <f>Предпосылки!$G$180*Предпосылки!$G$34*'Доходы и расходы'!K4</f>
        <v>0</v>
      </c>
      <c r="L145" s="40">
        <f>Предпосылки!$G$180*Предпосылки!$G$34*'Доходы и расходы'!L4</f>
        <v>0</v>
      </c>
      <c r="M145" s="40">
        <f>Предпосылки!$G$180*Предпосылки!$G$34*'Доходы и расходы'!M4</f>
        <v>0</v>
      </c>
      <c r="N145" s="40">
        <f>Предпосылки!$G$180*Предпосылки!$G$34*'Доходы и расходы'!N4</f>
        <v>0</v>
      </c>
    </row>
    <row r="146" spans="1:15" x14ac:dyDescent="0.25">
      <c r="A146" s="198" t="s">
        <v>170</v>
      </c>
      <c r="B146" s="435">
        <f>Предпосылки!B181</f>
        <v>0</v>
      </c>
      <c r="D146" s="188" t="s">
        <v>189</v>
      </c>
      <c r="E146" s="40">
        <f>Предпосылки!$G$181*Предпосылки!$G$34*E4</f>
        <v>0</v>
      </c>
      <c r="F146" s="40">
        <f>Предпосылки!$G$181*Предпосылки!$G$34*F4</f>
        <v>0</v>
      </c>
      <c r="G146" s="40">
        <f>Предпосылки!$G$181*Предпосылки!$G$34*G4</f>
        <v>0</v>
      </c>
      <c r="H146" s="40">
        <f>Предпосылки!$G$181*Предпосылки!$G$34*H4</f>
        <v>0</v>
      </c>
      <c r="I146" s="40">
        <f>Предпосылки!$G$181*Предпосылки!$G$34*I4</f>
        <v>0</v>
      </c>
      <c r="J146" s="40">
        <f>Предпосылки!$G$181*Предпосылки!$G$34*J4</f>
        <v>0</v>
      </c>
      <c r="K146" s="40">
        <f>Предпосылки!$G$181*Предпосылки!$G$34*K4</f>
        <v>0</v>
      </c>
      <c r="L146" s="40">
        <f>Предпосылки!$G$181*Предпосылки!$G$34*L4</f>
        <v>0</v>
      </c>
      <c r="M146" s="40">
        <f>Предпосылки!$G$181*Предпосылки!$G$34*M4</f>
        <v>0</v>
      </c>
      <c r="N146" s="40">
        <f>Предпосылки!$G$181*Предпосылки!$G$34*N4</f>
        <v>0</v>
      </c>
    </row>
    <row r="147" spans="1:15" x14ac:dyDescent="0.25">
      <c r="A147" s="198" t="s">
        <v>171</v>
      </c>
      <c r="B147" s="435">
        <f>Предпосылки!B182</f>
        <v>0</v>
      </c>
      <c r="D147" s="188" t="s">
        <v>189</v>
      </c>
      <c r="E147" s="40">
        <f>Предпосылки!$G$182*Предпосылки!$G$34*E4</f>
        <v>0</v>
      </c>
      <c r="F147" s="40">
        <f>Предпосылки!$G$182*Предпосылки!$G$34*F4</f>
        <v>0</v>
      </c>
      <c r="G147" s="40">
        <f>Предпосылки!$G$182*Предпосылки!$G$34*G4</f>
        <v>0</v>
      </c>
      <c r="H147" s="40">
        <f>Предпосылки!$G$182*Предпосылки!$G$34*H4</f>
        <v>0</v>
      </c>
      <c r="I147" s="40">
        <f>Предпосылки!$G$182*Предпосылки!$G$34*I4</f>
        <v>0</v>
      </c>
      <c r="J147" s="40">
        <f>Предпосылки!$G$182*Предпосылки!$G$34*J4</f>
        <v>0</v>
      </c>
      <c r="K147" s="40">
        <f>Предпосылки!$G$182*Предпосылки!$G$34*K4</f>
        <v>0</v>
      </c>
      <c r="L147" s="40">
        <f>Предпосылки!$G$182*Предпосылки!$G$34*L4</f>
        <v>0</v>
      </c>
      <c r="M147" s="40">
        <f>Предпосылки!$G$182*Предпосылки!$G$34*M4</f>
        <v>0</v>
      </c>
      <c r="N147" s="40">
        <f>Предпосылки!$G$182*Предпосылки!$G$34*N4</f>
        <v>0</v>
      </c>
    </row>
    <row r="148" spans="1:15" x14ac:dyDescent="0.25">
      <c r="A148" s="198" t="s">
        <v>172</v>
      </c>
      <c r="B148" s="435">
        <f>Предпосылки!B183</f>
        <v>0</v>
      </c>
      <c r="D148" s="188" t="s">
        <v>189</v>
      </c>
      <c r="E148" s="40">
        <f>Предпосылки!$G$183*Предпосылки!$G$34*E4</f>
        <v>0</v>
      </c>
      <c r="F148" s="40">
        <f>Предпосылки!$G$183*Предпосылки!$G$34*F4</f>
        <v>0</v>
      </c>
      <c r="G148" s="40">
        <f>Предпосылки!$G$183*Предпосылки!$G$34*G4</f>
        <v>0</v>
      </c>
      <c r="H148" s="40">
        <f>Предпосылки!$G$183*Предпосылки!$G$34*H4</f>
        <v>0</v>
      </c>
      <c r="I148" s="40">
        <f>Предпосылки!$G$183*Предпосылки!$G$34*I4</f>
        <v>0</v>
      </c>
      <c r="J148" s="40">
        <f>Предпосылки!$G$183*Предпосылки!$G$34*J4</f>
        <v>0</v>
      </c>
      <c r="K148" s="40">
        <f>Предпосылки!$G$183*Предпосылки!$G$34*K4</f>
        <v>0</v>
      </c>
      <c r="L148" s="40">
        <f>Предпосылки!$G$183*Предпосылки!$G$34*L4</f>
        <v>0</v>
      </c>
      <c r="M148" s="40">
        <f>Предпосылки!$G$183*Предпосылки!$G$34*M4</f>
        <v>0</v>
      </c>
      <c r="N148" s="40">
        <f>Предпосылки!$G$183*Предпосылки!$G$34*N4</f>
        <v>0</v>
      </c>
    </row>
    <row r="149" spans="1:15" x14ac:dyDescent="0.25">
      <c r="A149" s="198" t="s">
        <v>173</v>
      </c>
      <c r="B149" s="435">
        <f>Предпосылки!B184</f>
        <v>0</v>
      </c>
      <c r="D149" s="188" t="s">
        <v>189</v>
      </c>
      <c r="E149" s="40">
        <f>Предпосылки!$G$184*Предпосылки!$G$34*E4</f>
        <v>0</v>
      </c>
      <c r="F149" s="40">
        <f>Предпосылки!$G$184*Предпосылки!$G$34*F4</f>
        <v>0</v>
      </c>
      <c r="G149" s="40">
        <f>Предпосылки!$G$184*Предпосылки!$G$34*G4</f>
        <v>0</v>
      </c>
      <c r="H149" s="40">
        <f>Предпосылки!$G$184*Предпосылки!$G$34*H4</f>
        <v>0</v>
      </c>
      <c r="I149" s="40">
        <f>Предпосылки!$G$184*Предпосылки!$G$34*I4</f>
        <v>0</v>
      </c>
      <c r="J149" s="40">
        <f>Предпосылки!$G$184*Предпосылки!$G$34*J4</f>
        <v>0</v>
      </c>
      <c r="K149" s="40">
        <f>Предпосылки!$G$184*Предпосылки!$G$34*K4</f>
        <v>0</v>
      </c>
      <c r="L149" s="40">
        <f>Предпосылки!$G$184*Предпосылки!$G$34*L4</f>
        <v>0</v>
      </c>
      <c r="M149" s="40">
        <f>Предпосылки!$G$184*Предпосылки!$G$34*M4</f>
        <v>0</v>
      </c>
      <c r="N149" s="40">
        <f>Предпосылки!$G$184*Предпосылки!$G$34*N4</f>
        <v>0</v>
      </c>
    </row>
    <row r="150" spans="1:15" x14ac:dyDescent="0.25">
      <c r="A150" s="198" t="s">
        <v>174</v>
      </c>
      <c r="B150" s="435">
        <f>Предпосылки!B185</f>
        <v>0</v>
      </c>
      <c r="D150" s="188" t="s">
        <v>189</v>
      </c>
      <c r="E150" s="40">
        <f>Предпосылки!$G$185*Предпосылки!$G$34*E4</f>
        <v>0</v>
      </c>
      <c r="F150" s="40">
        <f>Предпосылки!$G$185*Предпосылки!$G$34*F4</f>
        <v>0</v>
      </c>
      <c r="G150" s="40">
        <f>Предпосылки!$G$185*Предпосылки!$G$34*G4</f>
        <v>0</v>
      </c>
      <c r="H150" s="40">
        <f>Предпосылки!$G$185*Предпосылки!$G$34*H4</f>
        <v>0</v>
      </c>
      <c r="I150" s="40">
        <f>Предпосылки!$G$185*Предпосылки!$G$34*I4</f>
        <v>0</v>
      </c>
      <c r="J150" s="40">
        <f>Предпосылки!$G$185*Предпосылки!$G$34*J4</f>
        <v>0</v>
      </c>
      <c r="K150" s="40">
        <f>Предпосылки!$G$185*Предпосылки!$G$34*K4</f>
        <v>0</v>
      </c>
      <c r="L150" s="40">
        <f>Предпосылки!$G$185*Предпосылки!$G$34*L4</f>
        <v>0</v>
      </c>
      <c r="M150" s="40">
        <f>Предпосылки!$G$185*Предпосылки!$G$34*M4</f>
        <v>0</v>
      </c>
      <c r="N150" s="40">
        <f>Предпосылки!$G$185*Предпосылки!$G$34*N4</f>
        <v>0</v>
      </c>
    </row>
    <row r="151" spans="1:15" x14ac:dyDescent="0.25">
      <c r="A151" s="198" t="s">
        <v>175</v>
      </c>
      <c r="B151" s="435">
        <f>Предпосылки!B186</f>
        <v>0</v>
      </c>
      <c r="D151" s="188" t="s">
        <v>189</v>
      </c>
      <c r="E151" s="40">
        <f>Предпосылки!$G$186*Предпосылки!$G$34*E4</f>
        <v>0</v>
      </c>
      <c r="F151" s="40">
        <f>Предпосылки!$G$186*Предпосылки!$G$34*F4</f>
        <v>0</v>
      </c>
      <c r="G151" s="40">
        <f>Предпосылки!$G$186*Предпосылки!$G$34*G4</f>
        <v>0</v>
      </c>
      <c r="H151" s="40">
        <f>Предпосылки!$G$186*Предпосылки!$G$34*H4</f>
        <v>0</v>
      </c>
      <c r="I151" s="40">
        <f>Предпосылки!$G$186*Предпосылки!$G$34*I4</f>
        <v>0</v>
      </c>
      <c r="J151" s="40">
        <f>Предпосылки!$G$186*Предпосылки!$G$34*J4</f>
        <v>0</v>
      </c>
      <c r="K151" s="40">
        <f>Предпосылки!$G$186*Предпосылки!$G$34*K4</f>
        <v>0</v>
      </c>
      <c r="L151" s="40">
        <f>Предпосылки!$G$186*Предпосылки!$G$34*L4</f>
        <v>0</v>
      </c>
      <c r="M151" s="40">
        <f>Предпосылки!$G$186*Предпосылки!$G$34*M4</f>
        <v>0</v>
      </c>
      <c r="N151" s="40">
        <f>Предпосылки!$G$186*Предпосылки!$G$34*N4</f>
        <v>0</v>
      </c>
    </row>
    <row r="152" spans="1:15" x14ac:dyDescent="0.25">
      <c r="A152" s="198" t="s">
        <v>176</v>
      </c>
      <c r="B152" s="435">
        <f>Предпосылки!B187</f>
        <v>0</v>
      </c>
      <c r="D152" s="188" t="s">
        <v>189</v>
      </c>
      <c r="E152" s="40">
        <f>Предпосылки!$G$187*Предпосылки!$G$34*E4</f>
        <v>0</v>
      </c>
      <c r="F152" s="40">
        <f>Предпосылки!$G$187*Предпосылки!$G$34*F4</f>
        <v>0</v>
      </c>
      <c r="G152" s="40">
        <f>Предпосылки!$G$187*Предпосылки!$G$34*G4</f>
        <v>0</v>
      </c>
      <c r="H152" s="40">
        <f>Предпосылки!$G$187*Предпосылки!$G$34*H4</f>
        <v>0</v>
      </c>
      <c r="I152" s="40">
        <f>Предпосылки!$G$187*Предпосылки!$G$34*I4</f>
        <v>0</v>
      </c>
      <c r="J152" s="40">
        <f>Предпосылки!$G$187*Предпосылки!$G$34*J4</f>
        <v>0</v>
      </c>
      <c r="K152" s="40">
        <f>Предпосылки!$G$187*Предпосылки!$G$34*K4</f>
        <v>0</v>
      </c>
      <c r="L152" s="40">
        <f>Предпосылки!$G$187*Предпосылки!$G$34*L4</f>
        <v>0</v>
      </c>
      <c r="M152" s="40">
        <f>Предпосылки!$G$187*Предпосылки!$G$34*M4</f>
        <v>0</v>
      </c>
      <c r="N152" s="40">
        <f>Предпосылки!$G$187*Предпосылки!$G$34*N4</f>
        <v>0</v>
      </c>
    </row>
    <row r="153" spans="1:15" x14ac:dyDescent="0.25">
      <c r="A153" s="198" t="s">
        <v>177</v>
      </c>
      <c r="B153" s="435">
        <f>Предпосылки!B188</f>
        <v>0</v>
      </c>
      <c r="D153" s="188" t="s">
        <v>189</v>
      </c>
      <c r="E153" s="40">
        <f>Предпосылки!$G$188*Предпосылки!$G$34*E4</f>
        <v>0</v>
      </c>
      <c r="F153" s="40">
        <f>Предпосылки!$G$188*Предпосылки!$G$34*F4</f>
        <v>0</v>
      </c>
      <c r="G153" s="40">
        <f>Предпосылки!$G$188*Предпосылки!$G$34*G4</f>
        <v>0</v>
      </c>
      <c r="H153" s="40">
        <f>Предпосылки!$G$188*Предпосылки!$G$34*H4</f>
        <v>0</v>
      </c>
      <c r="I153" s="40">
        <f>Предпосылки!$G$188*Предпосылки!$G$34*I4</f>
        <v>0</v>
      </c>
      <c r="J153" s="40">
        <f>Предпосылки!$G$188*Предпосылки!$G$34*J4</f>
        <v>0</v>
      </c>
      <c r="K153" s="40">
        <f>Предпосылки!$G$188*Предпосылки!$G$34*K4</f>
        <v>0</v>
      </c>
      <c r="L153" s="40">
        <f>Предпосылки!$G$188*Предпосылки!$G$34*L4</f>
        <v>0</v>
      </c>
      <c r="M153" s="40">
        <f>Предпосылки!$G$188*Предпосылки!$G$34*M4</f>
        <v>0</v>
      </c>
      <c r="N153" s="40">
        <f>Предпосылки!$G$188*Предпосылки!$G$34*N4</f>
        <v>0</v>
      </c>
    </row>
    <row r="154" spans="1:15" x14ac:dyDescent="0.25">
      <c r="D154" s="188"/>
    </row>
    <row r="155" spans="1:15" x14ac:dyDescent="0.25">
      <c r="B155" s="164" t="s">
        <v>218</v>
      </c>
      <c r="D155" s="188"/>
    </row>
    <row r="156" spans="1:15" x14ac:dyDescent="0.25">
      <c r="A156" s="198" t="s">
        <v>151</v>
      </c>
      <c r="B156" s="435" t="str">
        <f>B112</f>
        <v>Административный персонал</v>
      </c>
      <c r="D156" s="188" t="s">
        <v>39</v>
      </c>
      <c r="E156" s="40">
        <f>E112*E134</f>
        <v>856.80000000000007</v>
      </c>
      <c r="F156" s="40">
        <f t="shared" ref="F156:N156" si="33">F112*F134</f>
        <v>1375.1640000000002</v>
      </c>
      <c r="G156" s="40">
        <f t="shared" si="33"/>
        <v>1956.3999840000001</v>
      </c>
      <c r="H156" s="40">
        <f t="shared" si="33"/>
        <v>2077.6967830080002</v>
      </c>
      <c r="I156" s="40">
        <f t="shared" si="33"/>
        <v>2160.8046543283203</v>
      </c>
      <c r="J156" s="40">
        <f t="shared" si="33"/>
        <v>2247.2368405014531</v>
      </c>
      <c r="K156" s="40">
        <f t="shared" si="33"/>
        <v>2337.1263141215113</v>
      </c>
      <c r="L156" s="40">
        <f t="shared" si="33"/>
        <v>2430.6113666863716</v>
      </c>
      <c r="M156" s="40">
        <f t="shared" si="33"/>
        <v>2527.8358213538263</v>
      </c>
      <c r="N156" s="40">
        <f t="shared" si="33"/>
        <v>2628.9492542079797</v>
      </c>
      <c r="O156" s="244">
        <f t="shared" ref="O156:O176" si="34">SUM(E156:N156)</f>
        <v>20598.625018207462</v>
      </c>
    </row>
    <row r="157" spans="1:15" x14ac:dyDescent="0.25">
      <c r="A157" s="198" t="s">
        <v>152</v>
      </c>
      <c r="B157" s="435" t="str">
        <f t="shared" ref="B157:B175" si="35">B113</f>
        <v>Производственный персонал</v>
      </c>
      <c r="D157" s="188" t="s">
        <v>39</v>
      </c>
      <c r="E157" s="40">
        <f t="shared" ref="E157:N175" si="36">E113*E135</f>
        <v>854.2800000000002</v>
      </c>
      <c r="F157" s="40">
        <f t="shared" si="36"/>
        <v>3656.318400000001</v>
      </c>
      <c r="G157" s="40">
        <f t="shared" si="36"/>
        <v>7802.5834656000025</v>
      </c>
      <c r="H157" s="40">
        <f t="shared" si="36"/>
        <v>8976.8722771728026</v>
      </c>
      <c r="I157" s="40">
        <f t="shared" si="36"/>
        <v>9335.9471682597141</v>
      </c>
      <c r="J157" s="40">
        <f t="shared" si="36"/>
        <v>9709.3850549901035</v>
      </c>
      <c r="K157" s="40">
        <f t="shared" si="36"/>
        <v>10097.760457189708</v>
      </c>
      <c r="L157" s="40">
        <f t="shared" si="36"/>
        <v>10501.670875477295</v>
      </c>
      <c r="M157" s="40">
        <f t="shared" si="36"/>
        <v>10921.737710496389</v>
      </c>
      <c r="N157" s="40">
        <f t="shared" si="36"/>
        <v>11358.607218916242</v>
      </c>
      <c r="O157" s="244">
        <f t="shared" si="34"/>
        <v>83215.162628102262</v>
      </c>
    </row>
    <row r="158" spans="1:15" x14ac:dyDescent="0.25">
      <c r="A158" s="198" t="s">
        <v>153</v>
      </c>
      <c r="B158" s="435">
        <f t="shared" si="35"/>
        <v>0</v>
      </c>
      <c r="D158" s="188" t="s">
        <v>39</v>
      </c>
      <c r="E158" s="40">
        <f t="shared" si="36"/>
        <v>0</v>
      </c>
      <c r="F158" s="40">
        <f t="shared" si="36"/>
        <v>0</v>
      </c>
      <c r="G158" s="40">
        <f t="shared" si="36"/>
        <v>0</v>
      </c>
      <c r="H158" s="40">
        <f t="shared" si="36"/>
        <v>0</v>
      </c>
      <c r="I158" s="40">
        <f t="shared" si="36"/>
        <v>0</v>
      </c>
      <c r="J158" s="40">
        <f t="shared" si="36"/>
        <v>0</v>
      </c>
      <c r="K158" s="40">
        <f t="shared" si="36"/>
        <v>0</v>
      </c>
      <c r="L158" s="40">
        <f t="shared" si="36"/>
        <v>0</v>
      </c>
      <c r="M158" s="40">
        <f t="shared" si="36"/>
        <v>0</v>
      </c>
      <c r="N158" s="40">
        <f t="shared" si="36"/>
        <v>0</v>
      </c>
      <c r="O158" s="244">
        <f t="shared" si="34"/>
        <v>0</v>
      </c>
    </row>
    <row r="159" spans="1:15" x14ac:dyDescent="0.25">
      <c r="A159" s="198" t="s">
        <v>154</v>
      </c>
      <c r="B159" s="435">
        <f t="shared" si="35"/>
        <v>0</v>
      </c>
      <c r="D159" s="188" t="s">
        <v>39</v>
      </c>
      <c r="E159" s="40">
        <f t="shared" si="36"/>
        <v>0</v>
      </c>
      <c r="F159" s="40">
        <f t="shared" si="36"/>
        <v>0</v>
      </c>
      <c r="G159" s="40">
        <f t="shared" si="36"/>
        <v>0</v>
      </c>
      <c r="H159" s="40">
        <f t="shared" si="36"/>
        <v>0</v>
      </c>
      <c r="I159" s="40">
        <f t="shared" si="36"/>
        <v>0</v>
      </c>
      <c r="J159" s="40">
        <f t="shared" si="36"/>
        <v>0</v>
      </c>
      <c r="K159" s="40">
        <f t="shared" si="36"/>
        <v>0</v>
      </c>
      <c r="L159" s="40">
        <f t="shared" si="36"/>
        <v>0</v>
      </c>
      <c r="M159" s="40">
        <f t="shared" si="36"/>
        <v>0</v>
      </c>
      <c r="N159" s="40">
        <f t="shared" si="36"/>
        <v>0</v>
      </c>
      <c r="O159" s="244">
        <f t="shared" si="34"/>
        <v>0</v>
      </c>
    </row>
    <row r="160" spans="1:15" x14ac:dyDescent="0.25">
      <c r="A160" s="198" t="s">
        <v>155</v>
      </c>
      <c r="B160" s="435">
        <f t="shared" si="35"/>
        <v>0</v>
      </c>
      <c r="D160" s="188" t="s">
        <v>39</v>
      </c>
      <c r="E160" s="40">
        <f t="shared" si="36"/>
        <v>0</v>
      </c>
      <c r="F160" s="40">
        <f t="shared" si="36"/>
        <v>0</v>
      </c>
      <c r="G160" s="40">
        <f t="shared" si="36"/>
        <v>0</v>
      </c>
      <c r="H160" s="40">
        <f t="shared" si="36"/>
        <v>0</v>
      </c>
      <c r="I160" s="40">
        <f t="shared" si="36"/>
        <v>0</v>
      </c>
      <c r="J160" s="40">
        <f t="shared" si="36"/>
        <v>0</v>
      </c>
      <c r="K160" s="40">
        <f t="shared" si="36"/>
        <v>0</v>
      </c>
      <c r="L160" s="40">
        <f t="shared" si="36"/>
        <v>0</v>
      </c>
      <c r="M160" s="40">
        <f t="shared" si="36"/>
        <v>0</v>
      </c>
      <c r="N160" s="40">
        <f t="shared" si="36"/>
        <v>0</v>
      </c>
      <c r="O160" s="244">
        <f t="shared" si="34"/>
        <v>0</v>
      </c>
    </row>
    <row r="161" spans="1:15" x14ac:dyDescent="0.25">
      <c r="A161" s="198" t="s">
        <v>156</v>
      </c>
      <c r="B161" s="435">
        <f t="shared" si="35"/>
        <v>0</v>
      </c>
      <c r="D161" s="188" t="s">
        <v>39</v>
      </c>
      <c r="E161" s="40">
        <f t="shared" si="36"/>
        <v>0</v>
      </c>
      <c r="F161" s="40">
        <f t="shared" si="36"/>
        <v>0</v>
      </c>
      <c r="G161" s="40">
        <f t="shared" si="36"/>
        <v>0</v>
      </c>
      <c r="H161" s="40">
        <f t="shared" si="36"/>
        <v>0</v>
      </c>
      <c r="I161" s="40">
        <f t="shared" si="36"/>
        <v>0</v>
      </c>
      <c r="J161" s="40">
        <f t="shared" si="36"/>
        <v>0</v>
      </c>
      <c r="K161" s="40">
        <f t="shared" si="36"/>
        <v>0</v>
      </c>
      <c r="L161" s="40">
        <f t="shared" si="36"/>
        <v>0</v>
      </c>
      <c r="M161" s="40">
        <f t="shared" si="36"/>
        <v>0</v>
      </c>
      <c r="N161" s="40">
        <f t="shared" si="36"/>
        <v>0</v>
      </c>
      <c r="O161" s="244">
        <f t="shared" si="34"/>
        <v>0</v>
      </c>
    </row>
    <row r="162" spans="1:15" x14ac:dyDescent="0.25">
      <c r="A162" s="198" t="s">
        <v>157</v>
      </c>
      <c r="B162" s="435">
        <f t="shared" si="35"/>
        <v>0</v>
      </c>
      <c r="D162" s="188" t="s">
        <v>39</v>
      </c>
      <c r="E162" s="40">
        <f t="shared" si="36"/>
        <v>0</v>
      </c>
      <c r="F162" s="40">
        <f t="shared" si="36"/>
        <v>0</v>
      </c>
      <c r="G162" s="40">
        <f t="shared" si="36"/>
        <v>0</v>
      </c>
      <c r="H162" s="40">
        <f t="shared" si="36"/>
        <v>0</v>
      </c>
      <c r="I162" s="40">
        <f t="shared" si="36"/>
        <v>0</v>
      </c>
      <c r="J162" s="40">
        <f t="shared" si="36"/>
        <v>0</v>
      </c>
      <c r="K162" s="40">
        <f t="shared" si="36"/>
        <v>0</v>
      </c>
      <c r="L162" s="40">
        <f t="shared" si="36"/>
        <v>0</v>
      </c>
      <c r="M162" s="40">
        <f t="shared" si="36"/>
        <v>0</v>
      </c>
      <c r="N162" s="40">
        <f t="shared" si="36"/>
        <v>0</v>
      </c>
      <c r="O162" s="244">
        <f t="shared" si="34"/>
        <v>0</v>
      </c>
    </row>
    <row r="163" spans="1:15" x14ac:dyDescent="0.25">
      <c r="A163" s="198" t="s">
        <v>158</v>
      </c>
      <c r="B163" s="435">
        <f t="shared" si="35"/>
        <v>0</v>
      </c>
      <c r="D163" s="188" t="s">
        <v>39</v>
      </c>
      <c r="E163" s="40">
        <f t="shared" si="36"/>
        <v>0</v>
      </c>
      <c r="F163" s="40">
        <f t="shared" si="36"/>
        <v>0</v>
      </c>
      <c r="G163" s="40">
        <f t="shared" si="36"/>
        <v>0</v>
      </c>
      <c r="H163" s="40">
        <f t="shared" si="36"/>
        <v>0</v>
      </c>
      <c r="I163" s="40">
        <f t="shared" si="36"/>
        <v>0</v>
      </c>
      <c r="J163" s="40">
        <f t="shared" si="36"/>
        <v>0</v>
      </c>
      <c r="K163" s="40">
        <f t="shared" si="36"/>
        <v>0</v>
      </c>
      <c r="L163" s="40">
        <f t="shared" si="36"/>
        <v>0</v>
      </c>
      <c r="M163" s="40">
        <f t="shared" si="36"/>
        <v>0</v>
      </c>
      <c r="N163" s="40">
        <f t="shared" si="36"/>
        <v>0</v>
      </c>
      <c r="O163" s="244">
        <f t="shared" si="34"/>
        <v>0</v>
      </c>
    </row>
    <row r="164" spans="1:15" x14ac:dyDescent="0.25">
      <c r="A164" s="198" t="s">
        <v>159</v>
      </c>
      <c r="B164" s="435">
        <f t="shared" si="35"/>
        <v>0</v>
      </c>
      <c r="D164" s="188" t="s">
        <v>39</v>
      </c>
      <c r="E164" s="40">
        <f t="shared" si="36"/>
        <v>0</v>
      </c>
      <c r="F164" s="40">
        <f t="shared" si="36"/>
        <v>0</v>
      </c>
      <c r="G164" s="40">
        <f t="shared" si="36"/>
        <v>0</v>
      </c>
      <c r="H164" s="40">
        <f t="shared" si="36"/>
        <v>0</v>
      </c>
      <c r="I164" s="40">
        <f t="shared" si="36"/>
        <v>0</v>
      </c>
      <c r="J164" s="40">
        <f t="shared" si="36"/>
        <v>0</v>
      </c>
      <c r="K164" s="40">
        <f t="shared" si="36"/>
        <v>0</v>
      </c>
      <c r="L164" s="40">
        <f t="shared" si="36"/>
        <v>0</v>
      </c>
      <c r="M164" s="40">
        <f t="shared" si="36"/>
        <v>0</v>
      </c>
      <c r="N164" s="40">
        <f t="shared" si="36"/>
        <v>0</v>
      </c>
      <c r="O164" s="244">
        <f t="shared" si="34"/>
        <v>0</v>
      </c>
    </row>
    <row r="165" spans="1:15" x14ac:dyDescent="0.25">
      <c r="A165" s="198" t="s">
        <v>160</v>
      </c>
      <c r="B165" s="435">
        <f t="shared" si="35"/>
        <v>0</v>
      </c>
      <c r="D165" s="188" t="s">
        <v>39</v>
      </c>
      <c r="E165" s="40">
        <f t="shared" si="36"/>
        <v>0</v>
      </c>
      <c r="F165" s="40">
        <f t="shared" si="36"/>
        <v>0</v>
      </c>
      <c r="G165" s="40">
        <f t="shared" si="36"/>
        <v>0</v>
      </c>
      <c r="H165" s="40">
        <f t="shared" si="36"/>
        <v>0</v>
      </c>
      <c r="I165" s="40">
        <f t="shared" si="36"/>
        <v>0</v>
      </c>
      <c r="J165" s="40">
        <f t="shared" si="36"/>
        <v>0</v>
      </c>
      <c r="K165" s="40">
        <f t="shared" si="36"/>
        <v>0</v>
      </c>
      <c r="L165" s="40">
        <f t="shared" si="36"/>
        <v>0</v>
      </c>
      <c r="M165" s="40">
        <f t="shared" si="36"/>
        <v>0</v>
      </c>
      <c r="N165" s="40">
        <f t="shared" si="36"/>
        <v>0</v>
      </c>
      <c r="O165" s="244">
        <f t="shared" si="34"/>
        <v>0</v>
      </c>
    </row>
    <row r="166" spans="1:15" x14ac:dyDescent="0.25">
      <c r="A166" s="198" t="s">
        <v>168</v>
      </c>
      <c r="B166" s="435">
        <f t="shared" si="35"/>
        <v>0</v>
      </c>
      <c r="D166" s="188" t="s">
        <v>39</v>
      </c>
      <c r="E166" s="40">
        <f t="shared" si="36"/>
        <v>0</v>
      </c>
      <c r="F166" s="40">
        <f t="shared" si="36"/>
        <v>0</v>
      </c>
      <c r="G166" s="40">
        <f t="shared" si="36"/>
        <v>0</v>
      </c>
      <c r="H166" s="40">
        <f t="shared" si="36"/>
        <v>0</v>
      </c>
      <c r="I166" s="40">
        <f t="shared" si="36"/>
        <v>0</v>
      </c>
      <c r="J166" s="40">
        <f t="shared" si="36"/>
        <v>0</v>
      </c>
      <c r="K166" s="40">
        <f t="shared" si="36"/>
        <v>0</v>
      </c>
      <c r="L166" s="40">
        <f t="shared" si="36"/>
        <v>0</v>
      </c>
      <c r="M166" s="40">
        <f t="shared" si="36"/>
        <v>0</v>
      </c>
      <c r="N166" s="40">
        <f t="shared" si="36"/>
        <v>0</v>
      </c>
      <c r="O166" s="244">
        <f t="shared" si="34"/>
        <v>0</v>
      </c>
    </row>
    <row r="167" spans="1:15" x14ac:dyDescent="0.25">
      <c r="A167" s="198" t="s">
        <v>169</v>
      </c>
      <c r="B167" s="435">
        <f t="shared" si="35"/>
        <v>0</v>
      </c>
      <c r="D167" s="188" t="s">
        <v>39</v>
      </c>
      <c r="E167" s="40">
        <f t="shared" si="36"/>
        <v>0</v>
      </c>
      <c r="F167" s="40">
        <f t="shared" si="36"/>
        <v>0</v>
      </c>
      <c r="G167" s="40">
        <f t="shared" si="36"/>
        <v>0</v>
      </c>
      <c r="H167" s="40">
        <f t="shared" si="36"/>
        <v>0</v>
      </c>
      <c r="I167" s="40">
        <f t="shared" si="36"/>
        <v>0</v>
      </c>
      <c r="J167" s="40">
        <f t="shared" si="36"/>
        <v>0</v>
      </c>
      <c r="K167" s="40">
        <f t="shared" si="36"/>
        <v>0</v>
      </c>
      <c r="L167" s="40">
        <f t="shared" si="36"/>
        <v>0</v>
      </c>
      <c r="M167" s="40">
        <f t="shared" si="36"/>
        <v>0</v>
      </c>
      <c r="N167" s="40">
        <f t="shared" si="36"/>
        <v>0</v>
      </c>
      <c r="O167" s="244">
        <f t="shared" si="34"/>
        <v>0</v>
      </c>
    </row>
    <row r="168" spans="1:15" x14ac:dyDescent="0.25">
      <c r="A168" s="198" t="s">
        <v>170</v>
      </c>
      <c r="B168" s="435">
        <f t="shared" si="35"/>
        <v>0</v>
      </c>
      <c r="D168" s="188" t="s">
        <v>39</v>
      </c>
      <c r="E168" s="40">
        <f t="shared" si="36"/>
        <v>0</v>
      </c>
      <c r="F168" s="40">
        <f t="shared" si="36"/>
        <v>0</v>
      </c>
      <c r="G168" s="40">
        <f t="shared" si="36"/>
        <v>0</v>
      </c>
      <c r="H168" s="40">
        <f t="shared" si="36"/>
        <v>0</v>
      </c>
      <c r="I168" s="40">
        <f t="shared" si="36"/>
        <v>0</v>
      </c>
      <c r="J168" s="40">
        <f t="shared" si="36"/>
        <v>0</v>
      </c>
      <c r="K168" s="40">
        <f t="shared" si="36"/>
        <v>0</v>
      </c>
      <c r="L168" s="40">
        <f t="shared" si="36"/>
        <v>0</v>
      </c>
      <c r="M168" s="40">
        <f t="shared" si="36"/>
        <v>0</v>
      </c>
      <c r="N168" s="40">
        <f t="shared" si="36"/>
        <v>0</v>
      </c>
      <c r="O168" s="244">
        <f t="shared" si="34"/>
        <v>0</v>
      </c>
    </row>
    <row r="169" spans="1:15" x14ac:dyDescent="0.25">
      <c r="A169" s="198" t="s">
        <v>171</v>
      </c>
      <c r="B169" s="435">
        <f t="shared" si="35"/>
        <v>0</v>
      </c>
      <c r="D169" s="188" t="s">
        <v>39</v>
      </c>
      <c r="E169" s="40">
        <f t="shared" si="36"/>
        <v>0</v>
      </c>
      <c r="F169" s="40">
        <f t="shared" si="36"/>
        <v>0</v>
      </c>
      <c r="G169" s="40">
        <f t="shared" si="36"/>
        <v>0</v>
      </c>
      <c r="H169" s="40">
        <f t="shared" si="36"/>
        <v>0</v>
      </c>
      <c r="I169" s="40">
        <f t="shared" si="36"/>
        <v>0</v>
      </c>
      <c r="J169" s="40">
        <f t="shared" si="36"/>
        <v>0</v>
      </c>
      <c r="K169" s="40">
        <f t="shared" si="36"/>
        <v>0</v>
      </c>
      <c r="L169" s="40">
        <f t="shared" si="36"/>
        <v>0</v>
      </c>
      <c r="M169" s="40">
        <f t="shared" si="36"/>
        <v>0</v>
      </c>
      <c r="N169" s="40">
        <f t="shared" si="36"/>
        <v>0</v>
      </c>
      <c r="O169" s="244">
        <f t="shared" si="34"/>
        <v>0</v>
      </c>
    </row>
    <row r="170" spans="1:15" x14ac:dyDescent="0.25">
      <c r="A170" s="198" t="s">
        <v>172</v>
      </c>
      <c r="B170" s="435">
        <f t="shared" si="35"/>
        <v>0</v>
      </c>
      <c r="D170" s="188" t="s">
        <v>39</v>
      </c>
      <c r="E170" s="40">
        <f t="shared" si="36"/>
        <v>0</v>
      </c>
      <c r="F170" s="40">
        <f t="shared" si="36"/>
        <v>0</v>
      </c>
      <c r="G170" s="40">
        <f t="shared" si="36"/>
        <v>0</v>
      </c>
      <c r="H170" s="40">
        <f t="shared" si="36"/>
        <v>0</v>
      </c>
      <c r="I170" s="40">
        <f t="shared" si="36"/>
        <v>0</v>
      </c>
      <c r="J170" s="40">
        <f t="shared" si="36"/>
        <v>0</v>
      </c>
      <c r="K170" s="40">
        <f t="shared" si="36"/>
        <v>0</v>
      </c>
      <c r="L170" s="40">
        <f t="shared" si="36"/>
        <v>0</v>
      </c>
      <c r="M170" s="40">
        <f t="shared" si="36"/>
        <v>0</v>
      </c>
      <c r="N170" s="40">
        <f t="shared" si="36"/>
        <v>0</v>
      </c>
      <c r="O170" s="244">
        <f t="shared" si="34"/>
        <v>0</v>
      </c>
    </row>
    <row r="171" spans="1:15" x14ac:dyDescent="0.25">
      <c r="A171" s="198" t="s">
        <v>173</v>
      </c>
      <c r="B171" s="435">
        <f t="shared" si="35"/>
        <v>0</v>
      </c>
      <c r="D171" s="188" t="s">
        <v>39</v>
      </c>
      <c r="E171" s="40">
        <f t="shared" si="36"/>
        <v>0</v>
      </c>
      <c r="F171" s="40">
        <f t="shared" si="36"/>
        <v>0</v>
      </c>
      <c r="G171" s="40">
        <f t="shared" si="36"/>
        <v>0</v>
      </c>
      <c r="H171" s="40">
        <f t="shared" si="36"/>
        <v>0</v>
      </c>
      <c r="I171" s="40">
        <f t="shared" si="36"/>
        <v>0</v>
      </c>
      <c r="J171" s="40">
        <f t="shared" si="36"/>
        <v>0</v>
      </c>
      <c r="K171" s="40">
        <f t="shared" si="36"/>
        <v>0</v>
      </c>
      <c r="L171" s="40">
        <f t="shared" si="36"/>
        <v>0</v>
      </c>
      <c r="M171" s="40">
        <f t="shared" si="36"/>
        <v>0</v>
      </c>
      <c r="N171" s="40">
        <f t="shared" si="36"/>
        <v>0</v>
      </c>
      <c r="O171" s="244">
        <f t="shared" si="34"/>
        <v>0</v>
      </c>
    </row>
    <row r="172" spans="1:15" x14ac:dyDescent="0.25">
      <c r="A172" s="198" t="s">
        <v>174</v>
      </c>
      <c r="B172" s="435">
        <f t="shared" si="35"/>
        <v>0</v>
      </c>
      <c r="D172" s="188" t="s">
        <v>39</v>
      </c>
      <c r="E172" s="40">
        <f t="shared" si="36"/>
        <v>0</v>
      </c>
      <c r="F172" s="40">
        <f t="shared" si="36"/>
        <v>0</v>
      </c>
      <c r="G172" s="40">
        <f t="shared" si="36"/>
        <v>0</v>
      </c>
      <c r="H172" s="40">
        <f t="shared" si="36"/>
        <v>0</v>
      </c>
      <c r="I172" s="40">
        <f t="shared" si="36"/>
        <v>0</v>
      </c>
      <c r="J172" s="40">
        <f t="shared" si="36"/>
        <v>0</v>
      </c>
      <c r="K172" s="40">
        <f t="shared" si="36"/>
        <v>0</v>
      </c>
      <c r="L172" s="40">
        <f t="shared" si="36"/>
        <v>0</v>
      </c>
      <c r="M172" s="40">
        <f t="shared" si="36"/>
        <v>0</v>
      </c>
      <c r="N172" s="40">
        <f t="shared" si="36"/>
        <v>0</v>
      </c>
      <c r="O172" s="244">
        <f t="shared" si="34"/>
        <v>0</v>
      </c>
    </row>
    <row r="173" spans="1:15" x14ac:dyDescent="0.25">
      <c r="A173" s="198" t="s">
        <v>175</v>
      </c>
      <c r="B173" s="435">
        <f t="shared" si="35"/>
        <v>0</v>
      </c>
      <c r="D173" s="188" t="s">
        <v>39</v>
      </c>
      <c r="E173" s="40">
        <f t="shared" si="36"/>
        <v>0</v>
      </c>
      <c r="F173" s="40">
        <f t="shared" si="36"/>
        <v>0</v>
      </c>
      <c r="G173" s="40">
        <f t="shared" si="36"/>
        <v>0</v>
      </c>
      <c r="H173" s="40">
        <f t="shared" si="36"/>
        <v>0</v>
      </c>
      <c r="I173" s="40">
        <f t="shared" si="36"/>
        <v>0</v>
      </c>
      <c r="J173" s="40">
        <f t="shared" si="36"/>
        <v>0</v>
      </c>
      <c r="K173" s="40">
        <f t="shared" si="36"/>
        <v>0</v>
      </c>
      <c r="L173" s="40">
        <f t="shared" si="36"/>
        <v>0</v>
      </c>
      <c r="M173" s="40">
        <f t="shared" si="36"/>
        <v>0</v>
      </c>
      <c r="N173" s="40">
        <f t="shared" si="36"/>
        <v>0</v>
      </c>
      <c r="O173" s="244">
        <f t="shared" si="34"/>
        <v>0</v>
      </c>
    </row>
    <row r="174" spans="1:15" x14ac:dyDescent="0.25">
      <c r="A174" s="198" t="s">
        <v>176</v>
      </c>
      <c r="B174" s="435">
        <f t="shared" si="35"/>
        <v>0</v>
      </c>
      <c r="D174" s="188" t="s">
        <v>39</v>
      </c>
      <c r="E174" s="40">
        <f t="shared" si="36"/>
        <v>0</v>
      </c>
      <c r="F174" s="40">
        <f t="shared" ref="F174:N175" si="37">F130*F152</f>
        <v>0</v>
      </c>
      <c r="G174" s="40">
        <f t="shared" si="37"/>
        <v>0</v>
      </c>
      <c r="H174" s="40">
        <f t="shared" si="37"/>
        <v>0</v>
      </c>
      <c r="I174" s="40">
        <f t="shared" si="37"/>
        <v>0</v>
      </c>
      <c r="J174" s="40">
        <f t="shared" si="37"/>
        <v>0</v>
      </c>
      <c r="K174" s="40">
        <f t="shared" si="37"/>
        <v>0</v>
      </c>
      <c r="L174" s="40">
        <f t="shared" si="37"/>
        <v>0</v>
      </c>
      <c r="M174" s="40">
        <f t="shared" si="37"/>
        <v>0</v>
      </c>
      <c r="N174" s="40">
        <f t="shared" si="37"/>
        <v>0</v>
      </c>
      <c r="O174" s="244">
        <f t="shared" si="34"/>
        <v>0</v>
      </c>
    </row>
    <row r="175" spans="1:15" x14ac:dyDescent="0.25">
      <c r="A175" s="202" t="s">
        <v>177</v>
      </c>
      <c r="B175" s="440">
        <f t="shared" si="35"/>
        <v>0</v>
      </c>
      <c r="C175" s="195"/>
      <c r="D175" s="196" t="s">
        <v>39</v>
      </c>
      <c r="E175" s="381">
        <f t="shared" si="36"/>
        <v>0</v>
      </c>
      <c r="F175" s="381">
        <f t="shared" si="37"/>
        <v>0</v>
      </c>
      <c r="G175" s="381">
        <f t="shared" si="37"/>
        <v>0</v>
      </c>
      <c r="H175" s="381">
        <f t="shared" si="37"/>
        <v>0</v>
      </c>
      <c r="I175" s="381">
        <f t="shared" si="37"/>
        <v>0</v>
      </c>
      <c r="J175" s="381">
        <f t="shared" si="37"/>
        <v>0</v>
      </c>
      <c r="K175" s="381">
        <f t="shared" si="37"/>
        <v>0</v>
      </c>
      <c r="L175" s="381">
        <f t="shared" si="37"/>
        <v>0</v>
      </c>
      <c r="M175" s="381">
        <f t="shared" si="37"/>
        <v>0</v>
      </c>
      <c r="N175" s="381">
        <f t="shared" si="37"/>
        <v>0</v>
      </c>
      <c r="O175" s="336">
        <f t="shared" si="34"/>
        <v>0</v>
      </c>
    </row>
    <row r="176" spans="1:15" x14ac:dyDescent="0.25">
      <c r="A176" s="200"/>
      <c r="B176" s="377" t="s">
        <v>196</v>
      </c>
      <c r="C176" s="17"/>
      <c r="D176" s="15" t="s">
        <v>39</v>
      </c>
      <c r="E176" s="192">
        <f>SUM(E156:E175)</f>
        <v>1711.0800000000004</v>
      </c>
      <c r="F176" s="192">
        <f t="shared" ref="F176:N176" si="38">SUM(F156:F175)</f>
        <v>5031.4824000000008</v>
      </c>
      <c r="G176" s="192">
        <f t="shared" si="38"/>
        <v>9758.9834496000021</v>
      </c>
      <c r="H176" s="192">
        <f t="shared" si="38"/>
        <v>11054.569060180802</v>
      </c>
      <c r="I176" s="192">
        <f t="shared" si="38"/>
        <v>11496.751822588034</v>
      </c>
      <c r="J176" s="192">
        <f t="shared" si="38"/>
        <v>11956.621895491557</v>
      </c>
      <c r="K176" s="192">
        <f t="shared" si="38"/>
        <v>12434.886771311219</v>
      </c>
      <c r="L176" s="192">
        <f t="shared" si="38"/>
        <v>12932.282242163667</v>
      </c>
      <c r="M176" s="192">
        <f t="shared" si="38"/>
        <v>13449.573531850216</v>
      </c>
      <c r="N176" s="192">
        <f t="shared" si="38"/>
        <v>13987.556473124223</v>
      </c>
      <c r="O176" s="338">
        <f t="shared" si="34"/>
        <v>103813.78764630971</v>
      </c>
    </row>
    <row r="177" spans="1:15" x14ac:dyDescent="0.25">
      <c r="D177" s="188"/>
      <c r="O177" s="265"/>
    </row>
    <row r="178" spans="1:15" x14ac:dyDescent="0.25">
      <c r="B178" s="164" t="s">
        <v>180</v>
      </c>
      <c r="D178" s="15" t="s">
        <v>39</v>
      </c>
      <c r="E178" s="18">
        <f>E176*Предпосылки!$G$200</f>
        <v>523.59048000000018</v>
      </c>
      <c r="F178" s="18">
        <f>F176*Предпосылки!$G$200</f>
        <v>1539.6336144000004</v>
      </c>
      <c r="G178" s="18">
        <f>G176*Предпосылки!$G$200</f>
        <v>2986.2489355776011</v>
      </c>
      <c r="H178" s="18">
        <f>H176*Предпосылки!$G$200</f>
        <v>3382.6981324153257</v>
      </c>
      <c r="I178" s="18">
        <f>I176*Предпосылки!$G$200</f>
        <v>3518.0060577119389</v>
      </c>
      <c r="J178" s="18">
        <f>J176*Предпосылки!$G$200</f>
        <v>3658.7263000204171</v>
      </c>
      <c r="K178" s="18">
        <f>K176*Предпосылки!$G$200</f>
        <v>3805.0753520212338</v>
      </c>
      <c r="L178" s="18">
        <f>L176*Предпосылки!$G$200</f>
        <v>3957.2783661020826</v>
      </c>
      <c r="M178" s="18">
        <f>M176*Предпосылки!$G$200</f>
        <v>4115.5695007461663</v>
      </c>
      <c r="N178" s="18">
        <f>N176*Предпосылки!$G$200</f>
        <v>4280.1922807760129</v>
      </c>
      <c r="O178" s="244">
        <f>SUM(E178:N178)</f>
        <v>31767.019019770778</v>
      </c>
    </row>
    <row r="179" spans="1:15" x14ac:dyDescent="0.25">
      <c r="D179" s="188"/>
    </row>
    <row r="180" spans="1:15" x14ac:dyDescent="0.25">
      <c r="B180" s="380"/>
      <c r="D180" s="188"/>
    </row>
    <row r="181" spans="1:15" x14ac:dyDescent="0.25">
      <c r="B181" s="164" t="s">
        <v>188</v>
      </c>
      <c r="D181" s="188"/>
    </row>
    <row r="182" spans="1:15" x14ac:dyDescent="0.25">
      <c r="A182" s="198" t="s">
        <v>151</v>
      </c>
      <c r="B182" s="441" t="str">
        <f>Предпосылки!B265</f>
        <v>Расходы на содержание</v>
      </c>
      <c r="D182" s="188" t="s">
        <v>39</v>
      </c>
      <c r="E182" s="10">
        <f>Предпосылки!G265*E3</f>
        <v>0</v>
      </c>
      <c r="F182" s="10">
        <f>Предпосылки!H265*F3</f>
        <v>115.76949999999999</v>
      </c>
      <c r="G182" s="10">
        <f>Предпосылки!I265*G3</f>
        <v>133.7137725</v>
      </c>
      <c r="H182" s="10">
        <f>Предпосылки!J265*H3</f>
        <v>151.70435280000001</v>
      </c>
      <c r="I182" s="10">
        <f>Предпосылки!K265*I3</f>
        <v>170.92023748800003</v>
      </c>
      <c r="J182" s="10">
        <f>Предпосылки!L265*J3</f>
        <v>205.10428498560003</v>
      </c>
      <c r="K182" s="10">
        <f>Предпосылки!M265*K3</f>
        <v>241.74958390302726</v>
      </c>
      <c r="L182" s="10">
        <f>Предпосылки!N265*L3</f>
        <v>280.99833987787167</v>
      </c>
      <c r="M182" s="10">
        <f>Предпосылки!O265*M3</f>
        <v>338.38115875819494</v>
      </c>
      <c r="N182" s="10">
        <f>Предпосылки!P265*N3</f>
        <v>399.90500580513947</v>
      </c>
      <c r="O182" s="244">
        <f t="shared" ref="O182:O191" si="39">SUM(E182:N182)</f>
        <v>2038.2462361178332</v>
      </c>
    </row>
    <row r="183" spans="1:15" x14ac:dyDescent="0.25">
      <c r="A183" s="198" t="s">
        <v>152</v>
      </c>
      <c r="B183" s="441" t="str">
        <f>Предпосылки!B266</f>
        <v>Коммерческие расходы</v>
      </c>
      <c r="D183" s="5" t="s">
        <v>39</v>
      </c>
      <c r="E183" s="10">
        <f>Предпосылки!G266*E3</f>
        <v>10.85</v>
      </c>
      <c r="F183" s="10">
        <f>Предпосылки!H266*F3</f>
        <v>578.84749999999997</v>
      </c>
      <c r="G183" s="10">
        <f>Предпосылки!I266*G3</f>
        <v>60.778987500000007</v>
      </c>
      <c r="H183" s="10">
        <f>Предпосылки!J266*H3</f>
        <v>63.210147000000006</v>
      </c>
      <c r="I183" s="10">
        <f>Предпосылки!K266*I3</f>
        <v>78.886263456000009</v>
      </c>
      <c r="J183" s="10">
        <f>Предпосылки!L266*J3</f>
        <v>82.041713994240013</v>
      </c>
      <c r="K183" s="10">
        <f>Предпосылки!M266*K3</f>
        <v>99.543946313011219</v>
      </c>
      <c r="L183" s="10">
        <f>Предпосылки!N266*L3</f>
        <v>103.52570416553166</v>
      </c>
      <c r="M183" s="10">
        <f>Предпосылки!O266*M3</f>
        <v>123.04769409388908</v>
      </c>
      <c r="N183" s="10">
        <f>Предпосылки!P266*N3</f>
        <v>127.96960185764463</v>
      </c>
      <c r="O183" s="244">
        <f t="shared" si="39"/>
        <v>1328.7015583803166</v>
      </c>
    </row>
    <row r="184" spans="1:15" x14ac:dyDescent="0.25">
      <c r="A184" s="198" t="s">
        <v>153</v>
      </c>
      <c r="B184" s="441" t="str">
        <f>Предпосылки!B267</f>
        <v>Связь, интернет, телефония</v>
      </c>
      <c r="D184" s="5" t="s">
        <v>39</v>
      </c>
      <c r="E184" s="10">
        <f>Предпосылки!G267*E3</f>
        <v>19.53</v>
      </c>
      <c r="F184" s="10">
        <f>Предпосылки!H267*F3</f>
        <v>23.1539</v>
      </c>
      <c r="G184" s="10">
        <f>Предпосылки!I267*G3</f>
        <v>24.311595000000001</v>
      </c>
      <c r="H184" s="10">
        <f>Предпосылки!J267*H3</f>
        <v>26.548261740000001</v>
      </c>
      <c r="I184" s="10">
        <f>Предпосылки!K267*I3</f>
        <v>27.610192209600005</v>
      </c>
      <c r="J184" s="10">
        <f>Предпосылки!L267*J3</f>
        <v>30.081961797888006</v>
      </c>
      <c r="K184" s="10">
        <f>Предпосылки!M267*K3</f>
        <v>31.285240269803527</v>
      </c>
      <c r="L184" s="10">
        <f>Предпосылки!N267*L3</f>
        <v>34.015588511531831</v>
      </c>
      <c r="M184" s="10">
        <f>Предпосылки!O267*M3</f>
        <v>35.376212051993107</v>
      </c>
      <c r="N184" s="10">
        <f>Предпосылки!P267*N3</f>
        <v>38.390880557293393</v>
      </c>
      <c r="O184" s="244">
        <f t="shared" si="39"/>
        <v>290.30383213810984</v>
      </c>
    </row>
    <row r="185" spans="1:15" x14ac:dyDescent="0.25">
      <c r="A185" s="198" t="s">
        <v>154</v>
      </c>
      <c r="B185" s="441" t="str">
        <f>Предпосылки!B268</f>
        <v>Организационные расходы</v>
      </c>
      <c r="D185" s="5" t="s">
        <v>39</v>
      </c>
      <c r="E185" s="10">
        <f>Предпосылки!G268*E3</f>
        <v>10.85</v>
      </c>
      <c r="F185" s="10">
        <f>Предпосылки!H268*F3</f>
        <v>57.884749999999997</v>
      </c>
      <c r="G185" s="10">
        <f>Предпосылки!I268*G3</f>
        <v>60.778987500000007</v>
      </c>
      <c r="H185" s="10">
        <f>Предпосылки!J268*H3</f>
        <v>63.210147000000006</v>
      </c>
      <c r="I185" s="10">
        <f>Предпосылки!K268*I3</f>
        <v>65.738552880000015</v>
      </c>
      <c r="J185" s="10">
        <f>Предпосылки!L268*J3</f>
        <v>68.368094995200011</v>
      </c>
      <c r="K185" s="10">
        <f>Предпосылки!M268*K3</f>
        <v>71.102818795008019</v>
      </c>
      <c r="L185" s="10">
        <f>Предпосылки!N268*L3</f>
        <v>73.946931546808344</v>
      </c>
      <c r="M185" s="10">
        <f>Предпосылки!O268*M3</f>
        <v>76.90480880868067</v>
      </c>
      <c r="N185" s="10">
        <f>Предпосылки!P268*N3</f>
        <v>79.981001161027905</v>
      </c>
      <c r="O185" s="244">
        <f t="shared" si="39"/>
        <v>628.76609268672496</v>
      </c>
    </row>
    <row r="186" spans="1:15" x14ac:dyDescent="0.25">
      <c r="A186" s="198" t="s">
        <v>155</v>
      </c>
      <c r="B186" s="441" t="str">
        <f>Предпосылки!B269</f>
        <v>Транспортные расходы</v>
      </c>
      <c r="D186" s="5" t="s">
        <v>39</v>
      </c>
      <c r="E186" s="10">
        <f>Предпосылки!G269*E3</f>
        <v>542.5</v>
      </c>
      <c r="F186" s="10">
        <f>Предпосылки!H269*F3</f>
        <v>578.84749999999997</v>
      </c>
      <c r="G186" s="10">
        <f>Предпосылки!I269*G3</f>
        <v>607.78987500000005</v>
      </c>
      <c r="H186" s="10">
        <f>Предпосылки!J269*H3</f>
        <v>758.52176400000008</v>
      </c>
      <c r="I186" s="10">
        <f>Предпосылки!K269*I3</f>
        <v>788.86263456000017</v>
      </c>
      <c r="J186" s="10">
        <f>Предпосылки!L269*J3</f>
        <v>820.41713994240013</v>
      </c>
      <c r="K186" s="10">
        <f>Предпосылки!M269*K3</f>
        <v>995.43946313011224</v>
      </c>
      <c r="L186" s="10">
        <f>Предпосылки!N269*L3</f>
        <v>1035.2570416553167</v>
      </c>
      <c r="M186" s="10">
        <f>Предпосылки!O269*M3</f>
        <v>1076.6673233215295</v>
      </c>
      <c r="N186" s="10">
        <f>Предпосылки!P269*N3</f>
        <v>1279.6960185764465</v>
      </c>
      <c r="O186" s="244">
        <f t="shared" si="39"/>
        <v>8483.9987601858047</v>
      </c>
    </row>
    <row r="187" spans="1:15" x14ac:dyDescent="0.25">
      <c r="A187" s="198" t="s">
        <v>156</v>
      </c>
      <c r="B187" s="441">
        <f>Предпосылки!B270</f>
        <v>0</v>
      </c>
      <c r="D187" s="5" t="s">
        <v>39</v>
      </c>
      <c r="E187" s="10">
        <f>Предпосылки!G270*E3</f>
        <v>0</v>
      </c>
      <c r="F187" s="10">
        <f>Предпосылки!H270*F3</f>
        <v>0</v>
      </c>
      <c r="G187" s="10">
        <f>Предпосылки!I270*G3</f>
        <v>0</v>
      </c>
      <c r="H187" s="10">
        <f>Предпосылки!J270*H3</f>
        <v>0</v>
      </c>
      <c r="I187" s="10">
        <f>Предпосылки!K270*I3</f>
        <v>0</v>
      </c>
      <c r="J187" s="10">
        <f>Предпосылки!L270*J3</f>
        <v>0</v>
      </c>
      <c r="K187" s="10">
        <f>Предпосылки!M270*K3</f>
        <v>0</v>
      </c>
      <c r="L187" s="10">
        <f>Предпосылки!N270*L3</f>
        <v>0</v>
      </c>
      <c r="M187" s="10">
        <f>Предпосылки!O270*M3</f>
        <v>0</v>
      </c>
      <c r="N187" s="10">
        <f>Предпосылки!P270*N3</f>
        <v>0</v>
      </c>
      <c r="O187" s="244">
        <f t="shared" si="39"/>
        <v>0</v>
      </c>
    </row>
    <row r="188" spans="1:15" x14ac:dyDescent="0.25">
      <c r="A188" s="198" t="s">
        <v>157</v>
      </c>
      <c r="B188" s="441">
        <f>Предпосылки!B271</f>
        <v>0</v>
      </c>
      <c r="D188" s="5" t="s">
        <v>39</v>
      </c>
      <c r="E188" s="10">
        <f>Предпосылки!G271*E3</f>
        <v>0</v>
      </c>
      <c r="F188" s="10">
        <f>Предпосылки!H271*F3</f>
        <v>0</v>
      </c>
      <c r="G188" s="10">
        <f>Предпосылки!I271*G3</f>
        <v>0</v>
      </c>
      <c r="H188" s="10">
        <f>Предпосылки!J271*H3</f>
        <v>0</v>
      </c>
      <c r="I188" s="10">
        <f>Предпосылки!K271*I3</f>
        <v>0</v>
      </c>
      <c r="J188" s="10">
        <f>Предпосылки!L271*J3</f>
        <v>0</v>
      </c>
      <c r="K188" s="10">
        <f>Предпосылки!M271*K3</f>
        <v>0</v>
      </c>
      <c r="L188" s="10">
        <f>Предпосылки!N271*L3</f>
        <v>0</v>
      </c>
      <c r="M188" s="10">
        <f>Предпосылки!O271*M3</f>
        <v>0</v>
      </c>
      <c r="N188" s="10">
        <f>Предпосылки!P271*N3</f>
        <v>0</v>
      </c>
      <c r="O188" s="244">
        <f t="shared" si="39"/>
        <v>0</v>
      </c>
    </row>
    <row r="189" spans="1:15" x14ac:dyDescent="0.25">
      <c r="A189" s="198" t="s">
        <v>158</v>
      </c>
      <c r="B189" s="441">
        <f>Предпосылки!B272</f>
        <v>0</v>
      </c>
      <c r="D189" s="5" t="s">
        <v>39</v>
      </c>
      <c r="E189" s="10">
        <f>Предпосылки!G272*E3</f>
        <v>0</v>
      </c>
      <c r="F189" s="10">
        <f>Предпосылки!H272*F3</f>
        <v>0</v>
      </c>
      <c r="G189" s="10">
        <f>Предпосылки!I272*G3</f>
        <v>0</v>
      </c>
      <c r="H189" s="10">
        <f>Предпосылки!J272*H3</f>
        <v>0</v>
      </c>
      <c r="I189" s="10">
        <f>Предпосылки!K272*I3</f>
        <v>0</v>
      </c>
      <c r="J189" s="10">
        <f>Предпосылки!L272*J3</f>
        <v>0</v>
      </c>
      <c r="K189" s="10">
        <f>Предпосылки!M272*K3</f>
        <v>0</v>
      </c>
      <c r="L189" s="10">
        <f>Предпосылки!N272*L3</f>
        <v>0</v>
      </c>
      <c r="M189" s="10">
        <f>Предпосылки!O272*M3</f>
        <v>0</v>
      </c>
      <c r="N189" s="10">
        <f>Предпосылки!P272*N3</f>
        <v>0</v>
      </c>
      <c r="O189" s="244">
        <f t="shared" si="39"/>
        <v>0</v>
      </c>
    </row>
    <row r="190" spans="1:15" x14ac:dyDescent="0.25">
      <c r="A190" s="198" t="s">
        <v>159</v>
      </c>
      <c r="B190" s="441">
        <f>Предпосылки!B273</f>
        <v>0</v>
      </c>
      <c r="D190" s="5" t="s">
        <v>39</v>
      </c>
      <c r="E190" s="10">
        <f>Предпосылки!G273*E3</f>
        <v>0</v>
      </c>
      <c r="F190" s="10">
        <f>Предпосылки!H273*F3</f>
        <v>0</v>
      </c>
      <c r="G190" s="10">
        <f>Предпосылки!I273*G3</f>
        <v>0</v>
      </c>
      <c r="H190" s="10">
        <f>Предпосылки!J273*H3</f>
        <v>0</v>
      </c>
      <c r="I190" s="10">
        <f>Предпосылки!K273*I3</f>
        <v>0</v>
      </c>
      <c r="J190" s="10">
        <f>Предпосылки!L273*J3</f>
        <v>0</v>
      </c>
      <c r="K190" s="10">
        <f>Предпосылки!M273*K3</f>
        <v>0</v>
      </c>
      <c r="L190" s="10">
        <f>Предпосылки!N273*L3</f>
        <v>0</v>
      </c>
      <c r="M190" s="10">
        <f>Предпосылки!O273*M3</f>
        <v>0</v>
      </c>
      <c r="N190" s="10">
        <f>Предпосылки!P273*N3</f>
        <v>0</v>
      </c>
      <c r="O190" s="244">
        <f t="shared" si="39"/>
        <v>0</v>
      </c>
    </row>
    <row r="191" spans="1:15" x14ac:dyDescent="0.25">
      <c r="A191" s="198" t="s">
        <v>160</v>
      </c>
      <c r="B191" s="441">
        <f>Предпосылки!B274</f>
        <v>0</v>
      </c>
      <c r="D191" s="5" t="s">
        <v>39</v>
      </c>
      <c r="E191" s="10">
        <f>Предпосылки!G274*E3</f>
        <v>0</v>
      </c>
      <c r="F191" s="10">
        <f>Предпосылки!H274*F3</f>
        <v>0</v>
      </c>
      <c r="G191" s="10">
        <f>Предпосылки!I274*G3</f>
        <v>0</v>
      </c>
      <c r="H191" s="10">
        <f>Предпосылки!J274*H3</f>
        <v>0</v>
      </c>
      <c r="I191" s="10">
        <f>Предпосылки!K274*I3</f>
        <v>0</v>
      </c>
      <c r="J191" s="10">
        <f>Предпосылки!L274*J3</f>
        <v>0</v>
      </c>
      <c r="K191" s="10">
        <f>Предпосылки!M274*K3</f>
        <v>0</v>
      </c>
      <c r="L191" s="10">
        <f>Предпосылки!N274*L3</f>
        <v>0</v>
      </c>
      <c r="M191" s="10">
        <f>Предпосылки!O274*M3</f>
        <v>0</v>
      </c>
      <c r="N191" s="10">
        <f>Предпосылки!P274*N3</f>
        <v>0</v>
      </c>
      <c r="O191" s="244">
        <f t="shared" si="39"/>
        <v>0</v>
      </c>
    </row>
    <row r="192" spans="1:15" x14ac:dyDescent="0.25">
      <c r="B192" s="23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x14ac:dyDescent="0.25">
      <c r="B193" s="378"/>
    </row>
    <row r="194" spans="1:14" x14ac:dyDescent="0.25">
      <c r="B194" s="164" t="s">
        <v>187</v>
      </c>
      <c r="D194" s="188"/>
    </row>
    <row r="195" spans="1:14" x14ac:dyDescent="0.25">
      <c r="B195" s="173" t="s">
        <v>192</v>
      </c>
      <c r="D195" s="188"/>
    </row>
    <row r="196" spans="1:14" x14ac:dyDescent="0.25">
      <c r="B196" s="521" t="str">
        <f>Предпосылки!B208</f>
        <v>Кадастровый номер</v>
      </c>
      <c r="D196" s="523" t="str">
        <f>Предпосылки!G208</f>
        <v>59:13:0060111:149</v>
      </c>
    </row>
    <row r="197" spans="1:14" x14ac:dyDescent="0.25">
      <c r="B197" s="521" t="str">
        <f>Предпосылки!B209</f>
        <v>Год оформления в аренду</v>
      </c>
      <c r="D197" s="522">
        <f>Предпосылки!G209</f>
        <v>2022</v>
      </c>
    </row>
    <row r="198" spans="1:14" x14ac:dyDescent="0.25">
      <c r="B198" s="521" t="str">
        <f>Предпосылки!B207</f>
        <v>Правообладатель земельного участка</v>
      </c>
      <c r="D198" s="522" t="str">
        <f>Предпосылки!G207</f>
        <v>ЗУ не разграничен</v>
      </c>
    </row>
    <row r="199" spans="1:14" x14ac:dyDescent="0.25">
      <c r="B199" s="521" t="str">
        <f>Предпосылки!B215</f>
        <v>Категория земель</v>
      </c>
      <c r="D199" s="523" t="str">
        <f>IF(Предпосылки!G215,VLOOKUP(Предпосылки!G215,Предпосылки!A246:B252,2,),"Заполнено не верно или не заполнено")</f>
        <v>Земли населенных пунктов</v>
      </c>
    </row>
    <row r="200" spans="1:14" x14ac:dyDescent="0.25">
      <c r="B200" s="173"/>
      <c r="D200" s="210"/>
    </row>
    <row r="201" spans="1:14" s="26" customFormat="1" x14ac:dyDescent="0.25">
      <c r="A201" s="201"/>
      <c r="B201" s="378" t="s">
        <v>7</v>
      </c>
      <c r="C201" s="7"/>
      <c r="D201" s="25" t="s">
        <v>37</v>
      </c>
      <c r="E201" s="40">
        <f>IF(VALUE(LEFT(E1,4))&gt;=Предпосылки!$G$209,Предпосылки!$G$210,0)/10000</f>
        <v>2.5</v>
      </c>
      <c r="F201" s="40">
        <f>IF(VALUE(LEFT(F1,4))&gt;=Предпосылки!$G$209,Предпосылки!$G$210,0)/10000</f>
        <v>2.5</v>
      </c>
      <c r="G201" s="40">
        <f>IF(VALUE(LEFT(G1,4))&gt;=Предпосылки!$G$209,Предпосылки!$G$210,0)/10000</f>
        <v>2.5</v>
      </c>
      <c r="H201" s="40">
        <f>IF(VALUE(LEFT(H1,4))&gt;=Предпосылки!$G$209,Предпосылки!$G$210,0)/10000</f>
        <v>2.5</v>
      </c>
      <c r="I201" s="40">
        <f>IF(VALUE(LEFT(I1,4))&gt;=Предпосылки!$G$209,Предпосылки!$G$210,0)/10000</f>
        <v>2.5</v>
      </c>
      <c r="J201" s="40">
        <f>IF(VALUE(LEFT(J1,4))&gt;=Предпосылки!$G$209,Предпосылки!$G$210,0)/10000</f>
        <v>2.5</v>
      </c>
      <c r="K201" s="40">
        <f>IF(VALUE(LEFT(K1,4))&gt;=Предпосылки!$G$209,Предпосылки!$G$210,0)/10000</f>
        <v>2.5</v>
      </c>
      <c r="L201" s="40">
        <f>IF(VALUE(LEFT(L1,4))&gt;=Предпосылки!$G$209,Предпосылки!$G$210,0)/10000</f>
        <v>2.5</v>
      </c>
      <c r="M201" s="40">
        <f>IF(VALUE(LEFT(M1,4))&gt;=Предпосылки!$G$209,Предпосылки!$G$210,0)/10000</f>
        <v>2.5</v>
      </c>
      <c r="N201" s="40">
        <f>IF(VALUE(LEFT(N1,4))&gt;=Предпосылки!$G$209,Предпосылки!$G$210,0)/10000</f>
        <v>2.5</v>
      </c>
    </row>
    <row r="202" spans="1:14" x14ac:dyDescent="0.25">
      <c r="B202" s="378" t="s">
        <v>38</v>
      </c>
      <c r="D202" s="5" t="s">
        <v>39</v>
      </c>
      <c r="E202" s="40" t="e">
        <f>IF(VALUE(LEFT(E1,4))&gt;=Предпосылки!$G$209,Предпосылки!$G$211,0)*E5</f>
        <v>#VALUE!</v>
      </c>
      <c r="F202" s="40" t="e">
        <f>IF(VALUE(LEFT(F1,4))&gt;=Предпосылки!$G$209,Предпосылки!$G$211,0)*F5</f>
        <v>#VALUE!</v>
      </c>
      <c r="G202" s="40" t="e">
        <f>IF(VALUE(LEFT(G1,4))&gt;=Предпосылки!$G$209,Предпосылки!$G$211,0)*G5</f>
        <v>#VALUE!</v>
      </c>
      <c r="H202" s="40" t="e">
        <f>IF(VALUE(LEFT(H1,4))&gt;=Предпосылки!$G$209,Предпосылки!$G$211,0)*H5</f>
        <v>#VALUE!</v>
      </c>
      <c r="I202" s="40" t="e">
        <f>IF(VALUE(LEFT(I1,4))&gt;=Предпосылки!$G$209,Предпосылки!$G$211,0)*I5</f>
        <v>#VALUE!</v>
      </c>
      <c r="J202" s="40" t="e">
        <f>IF(VALUE(LEFT(J1,4))&gt;=Предпосылки!$G$209,Предпосылки!$G$211,0)*J5</f>
        <v>#VALUE!</v>
      </c>
      <c r="K202" s="40" t="e">
        <f>IF(VALUE(LEFT(K1,4))&gt;=Предпосылки!$G$209,Предпосылки!$G$211,0)*K5</f>
        <v>#VALUE!</v>
      </c>
      <c r="L202" s="40" t="e">
        <f>IF(VALUE(LEFT(L1,4))&gt;=Предпосылки!$G$209,Предпосылки!$G$211,0)*L5</f>
        <v>#VALUE!</v>
      </c>
      <c r="M202" s="40" t="e">
        <f>IF(VALUE(LEFT(M1,4))&gt;=Предпосылки!$G$209,Предпосылки!$G$211,0)*M5</f>
        <v>#VALUE!</v>
      </c>
      <c r="N202" s="40" t="e">
        <f>IF(VALUE(LEFT(N1,4))&gt;=Предпосылки!$G$209,Предпосылки!$G$211,0)*N5</f>
        <v>#VALUE!</v>
      </c>
    </row>
    <row r="203" spans="1:14" x14ac:dyDescent="0.25">
      <c r="B203" s="378" t="s">
        <v>40</v>
      </c>
      <c r="D203" s="5" t="s">
        <v>14</v>
      </c>
      <c r="E203" s="214">
        <f>IF(VALUE(LEFT(E1,4))&gt;=Предпосылки!$G$209,Предпосылки!$G$212,0)</f>
        <v>0.04</v>
      </c>
      <c r="F203" s="214">
        <f>IF(VALUE(LEFT(F1,4))&gt;=Предпосылки!$G$209,Предпосылки!$G$212,0)</f>
        <v>0.04</v>
      </c>
      <c r="G203" s="214">
        <f>IF(VALUE(LEFT(G1,4))&gt;=Предпосылки!$G$209,Предпосылки!$G$212,0)</f>
        <v>0.04</v>
      </c>
      <c r="H203" s="214">
        <f>IF(VALUE(LEFT(H1,4))&gt;=Предпосылки!$G$209,Предпосылки!$G$212,0)</f>
        <v>0.04</v>
      </c>
      <c r="I203" s="214">
        <f>IF(VALUE(LEFT(I1,4))&gt;=Предпосылки!$G$209,Предпосылки!$G$212,0)</f>
        <v>0.04</v>
      </c>
      <c r="J203" s="214">
        <f>IF(VALUE(LEFT(J1,4))&gt;=Предпосылки!$G$209,Предпосылки!$G$212,0)</f>
        <v>0.04</v>
      </c>
      <c r="K203" s="214">
        <f>IF(VALUE(LEFT(K1,4))&gt;=Предпосылки!$G$209,Предпосылки!$G$212,0)</f>
        <v>0.04</v>
      </c>
      <c r="L203" s="214">
        <f>IF(VALUE(LEFT(L1,4))&gt;=Предпосылки!$G$209,Предпосылки!$G$212,0)</f>
        <v>0.04</v>
      </c>
      <c r="M203" s="214">
        <f>IF(VALUE(LEFT(M1,4))&gt;=Предпосылки!$G$209,Предпосылки!$G$212,0)</f>
        <v>0.04</v>
      </c>
      <c r="N203" s="214">
        <f>IF(VALUE(LEFT(N1,4))&gt;=Предпосылки!$G$209,Предпосылки!$G$212,0)</f>
        <v>0.04</v>
      </c>
    </row>
    <row r="204" spans="1:14" x14ac:dyDescent="0.25">
      <c r="B204" s="378" t="s">
        <v>42</v>
      </c>
      <c r="D204" s="5" t="s">
        <v>43</v>
      </c>
      <c r="E204" s="475" t="str">
        <f>IF(AND(E1&gt;=Предпосылки!$G$209,E1&lt;Предпосылки!$G$209+3),Предпосылки!$G$214,0)</f>
        <v>-</v>
      </c>
      <c r="F204" s="475" t="str">
        <f>IF(AND(F1&gt;=Предпосылки!$G$209,F1&lt;Предпосылки!$G$209+3),Предпосылки!$G$214,0)</f>
        <v>-</v>
      </c>
      <c r="G204" s="475" t="str">
        <f>IF(AND(G1&gt;=Предпосылки!$G$209,G1&lt;Предпосылки!$G$209+3),Предпосылки!$G$214,0)</f>
        <v>-</v>
      </c>
      <c r="H204" s="475">
        <f>IF(AND(H1&gt;=Предпосылки!$G$209,H1&lt;Предпосылки!$G$209+3),Предпосылки!$G$214,0)</f>
        <v>0</v>
      </c>
      <c r="I204" s="475">
        <f>IF(AND(I1&gt;=Предпосылки!$G$209,I1&lt;Предпосылки!$G$209+3),Предпосылки!$G$214,0)</f>
        <v>0</v>
      </c>
      <c r="J204" s="475">
        <f>IF(AND(J1&gt;=Предпосылки!$G$209,J1&lt;Предпосылки!$G$209+3),Предпосылки!$G$214,0)</f>
        <v>0</v>
      </c>
      <c r="K204" s="475">
        <f>IF(AND(K1&gt;=Предпосылки!$G$209,K1&lt;Предпосылки!$G$209+3),Предпосылки!$G$214,0)</f>
        <v>0</v>
      </c>
      <c r="L204" s="475">
        <f>IF(AND(L1&gt;=Предпосылки!$G$209,L1&lt;Предпосылки!$G$209+3),Предпосылки!$G$214,0)</f>
        <v>0</v>
      </c>
      <c r="M204" s="475">
        <f>IF(AND(M1&gt;=Предпосылки!$G$209,M1&lt;Предпосылки!$G$209+3),Предпосылки!$G$214,0)</f>
        <v>0</v>
      </c>
      <c r="N204" s="475">
        <f>IF(AND(N1&gt;=Предпосылки!$G$209,N1&lt;Предпосылки!$G$209+3),Предпосылки!$G$214,0)</f>
        <v>0</v>
      </c>
    </row>
    <row r="205" spans="1:14" x14ac:dyDescent="0.25">
      <c r="B205" s="378" t="s">
        <v>428</v>
      </c>
      <c r="D205" s="210" t="s">
        <v>36</v>
      </c>
      <c r="E205" s="515" cm="1">
        <f t="array" ref="E205">IFERROR(_xlfn.IFS($D$198="ЗУ не разграничен",IF(E201&gt;0,IF(E204&gt;0,100%,VLOOKUP(E1,Справочно!$B:$C,2,)),0%),$D$198="Муниципалитет",IF(E201&gt;0,IF(E204&gt;0,100%,VLOOKUP(E1,Справочно!$B:$C,2,)),0%),$D$198="Регион",IF(E201&gt;0,IF(E204&gt;0,100%,VLOOKUP(E1,Справочно!$B:$C,2,)),0%),$D$198="Федерация",E3),0)</f>
        <v>1</v>
      </c>
      <c r="F205" s="515" cm="1">
        <f t="array" ref="F205">IFERROR(_xlfn.IFS($D$198="ЗУ не разграничен",IF(F201&gt;0,IF(F204&gt;0,100%,VLOOKUP(F1,Справочно!$B:$C,2,)),0%),$D$198="Муниципалитет",IF(F201&gt;0,IF(F204&gt;0,100%,VLOOKUP(F1,Справочно!$B:$C,2,)),0%),$D$198="Регион",IF(F201&gt;0,IF(F204&gt;0,100%,VLOOKUP(F1,Справочно!$B:$C,2,)),0%),$D$198="Федерация",F3),0)</f>
        <v>1</v>
      </c>
      <c r="G205" s="515" cm="1">
        <f t="array" ref="G205">IFERROR(_xlfn.IFS($D$198="ЗУ не разграничен",IF(G201&gt;0,IF(G204&gt;0,100%,VLOOKUP(G1,Справочно!$B:$C,2,)),0%),$D$198="Муниципалитет",IF(G201&gt;0,IF(G204&gt;0,100%,VLOOKUP(G1,Справочно!$B:$C,2,)),0%),$D$198="Регион",IF(G201&gt;0,IF(G204&gt;0,100%,VLOOKUP(G1,Справочно!$B:$C,2,)),0%),$D$198="Федерация",G3),0)</f>
        <v>1</v>
      </c>
      <c r="H205" s="515" cm="1">
        <f t="array" ref="H205">IFERROR(_xlfn.IFS($D$198="ЗУ не разграничен",IF(H201&gt;0,IF(H204&gt;0,100%,VLOOKUP(H1,Справочно!$B:$C,2,)),0%),$D$198="Муниципалитет",IF(H201&gt;0,IF(H204&gt;0,100%,VLOOKUP(H1,Справочно!$B:$C,2,)),0%),$D$198="Регион",IF(H201&gt;0,IF(H204&gt;0,100%,VLOOKUP(H1,Справочно!$B:$C,2,)),0%),$D$198="Федерация",H3),0)</f>
        <v>1.3725000000000001</v>
      </c>
      <c r="I205" s="515" cm="1">
        <f t="array" ref="I205">IFERROR(_xlfn.IFS($D$198="ЗУ не разграничен",IF(I201&gt;0,IF(I204&gt;0,100%,VLOOKUP(I1,Справочно!$B:$C,2,)),0%),$D$198="Муниципалитет",IF(I201&gt;0,IF(I204&gt;0,100%,VLOOKUP(I1,Справочно!$B:$C,2,)),0%),$D$198="Регион",IF(I201&gt;0,IF(I204&gt;0,100%,VLOOKUP(I1,Справочно!$B:$C,2,)),0%),$D$198="Федерация",I3),0)</f>
        <v>1.4274</v>
      </c>
      <c r="J205" s="515" cm="1">
        <f t="array" ref="J205">IFERROR(_xlfn.IFS($D$198="ЗУ не разграничен",IF(J201&gt;0,IF(J204&gt;0,100%,VLOOKUP(J1,Справочно!$B:$C,2,)),0%),$D$198="Муниципалитет",IF(J201&gt;0,IF(J204&gt;0,100%,VLOOKUP(J1,Справочно!$B:$C,2,)),0%),$D$198="Регион",IF(J201&gt;0,IF(J204&gt;0,100%,VLOOKUP(J1,Справочно!$B:$C,2,)),0%),$D$198="Федерация",J3),0)</f>
        <v>1.4844999999999999</v>
      </c>
      <c r="K205" s="515" cm="1">
        <f t="array" ref="K205">IFERROR(_xlfn.IFS($D$198="ЗУ не разграничен",IF(K201&gt;0,IF(K204&gt;0,100%,VLOOKUP(K1,Справочно!$B:$C,2,)),0%),$D$198="Муниципалитет",IF(K201&gt;0,IF(K204&gt;0,100%,VLOOKUP(K1,Справочно!$B:$C,2,)),0%),$D$198="Регион",IF(K201&gt;0,IF(K204&gt;0,100%,VLOOKUP(K1,Справочно!$B:$C,2,)),0%),$D$198="Федерация",K3),0)</f>
        <v>1.5439000000000001</v>
      </c>
      <c r="L205" s="515" cm="1">
        <f t="array" ref="L205">IFERROR(_xlfn.IFS($D$198="ЗУ не разграничен",IF(L201&gt;0,IF(L204&gt;0,100%,VLOOKUP(L1,Справочно!$B:$C,2,)),0%),$D$198="Муниципалитет",IF(L201&gt;0,IF(L204&gt;0,100%,VLOOKUP(L1,Справочно!$B:$C,2,)),0%),$D$198="Регион",IF(L201&gt;0,IF(L204&gt;0,100%,VLOOKUP(L1,Справочно!$B:$C,2,)),0%),$D$198="Федерация",L3),0)</f>
        <v>1.6056999999999999</v>
      </c>
      <c r="M205" s="515" cm="1">
        <f t="array" ref="M205">IFERROR(_xlfn.IFS($D$198="ЗУ не разграничен",IF(M201&gt;0,IF(M204&gt;0,100%,VLOOKUP(M1,Справочно!$B:$C,2,)),0%),$D$198="Муниципалитет",IF(M201&gt;0,IF(M204&gt;0,100%,VLOOKUP(M1,Справочно!$B:$C,2,)),0%),$D$198="Регион",IF(M201&gt;0,IF(M204&gt;0,100%,VLOOKUP(M1,Справочно!$B:$C,2,)),0%),$D$198="Федерация",M3),0)</f>
        <v>1.6698999999999999</v>
      </c>
      <c r="N205" s="515" cm="1">
        <f t="array" ref="N205">IFERROR(_xlfn.IFS($D$198="ЗУ не разграничен",IF(N201&gt;0,IF(N204&gt;0,100%,VLOOKUP(N1,Справочно!$B:$C,2,)),0%),$D$198="Муниципалитет",IF(N201&gt;0,IF(N204&gt;0,100%,VLOOKUP(N1,Справочно!$B:$C,2,)),0%),$D$198="Регион",IF(N201&gt;0,IF(N204&gt;0,100%,VLOOKUP(N1,Справочно!$B:$C,2,)),0%),$D$198="Федерация",N3),0)</f>
        <v>1.7366999999999999</v>
      </c>
    </row>
    <row r="206" spans="1:14" x14ac:dyDescent="0.25">
      <c r="B206" s="379" t="s">
        <v>196</v>
      </c>
      <c r="C206" s="21"/>
      <c r="D206" s="11" t="s">
        <v>39</v>
      </c>
      <c r="E206" s="192" cm="1">
        <f t="array" ref="E206">IFERROR(_xlfn.IFS($D$198="ЗУ не разграничен",IF(AND(E1&lt;Предпосылки!$G$209+3,Предпосылки!$C$214="Есть льгота"),E201*E204,E202*E203)*E205,$D$198="Муниципалитет",IF(AND(E1&lt;Предпосылки!$G$209+3,Предпосылки!$C$214="Есть льгота"),E201*E204,E202*E203)*E205,$D$198="Регион",IF(AND(E1&lt;Предпосылки!$G$209+3,Предпосылки!$C$214="Есть льгота"),E201*E204,E202*E203)*E205,$D$198="Федерация",E202*E203*E205),0)</f>
        <v>0</v>
      </c>
      <c r="F206" s="192" cm="1">
        <f t="array" ref="F206">IFERROR(_xlfn.IFS($D$198="ЗУ не разграничен",IF(AND(F1&lt;Предпосылки!$G$209+3,Предпосылки!$C$214="Есть льгота"),F201*F204,F202*F203)*F205,$D$198="Муниципалитет",IF(AND(F1&lt;Предпосылки!$G$209+3,Предпосылки!$C$214="Есть льгота"),F201*F204,F202*F203)*F205,$D$198="Регион",IF(AND(F1&lt;Предпосылки!$G$209+3,Предпосылки!$C$214="Есть льгота"),F201*F204,F202*F203)*F205,$D$198="Федерация",F202*F203*F205),0)</f>
        <v>0</v>
      </c>
      <c r="G206" s="192" cm="1">
        <f t="array" ref="G206">IFERROR(_xlfn.IFS($D$198="ЗУ не разграничен",IF(AND(G1&lt;Предпосылки!$G$209+3,Предпосылки!$C$214="Есть льгота"),G201*G204,G202*G203)*G205,$D$198="Муниципалитет",IF(AND(G1&lt;Предпосылки!$G$209+3,Предпосылки!$C$214="Есть льгота"),G201*G204,G202*G203)*G205,$D$198="Регион",IF(AND(G1&lt;Предпосылки!$G$209+3,Предпосылки!$C$214="Есть льгота"),G201*G204,G202*G203)*G205,$D$198="Федерация",G202*G203*G205),0)</f>
        <v>0</v>
      </c>
      <c r="H206" s="192" cm="1">
        <f t="array" ref="H206">IFERROR(_xlfn.IFS($D$198="ЗУ не разграничен",IF(AND(H1&lt;Предпосылки!$G$209+3,Предпосылки!$C$214="Есть льгота"),H201*H204,H202*H203)*H205,$D$198="Муниципалитет",IF(AND(H1&lt;Предпосылки!$G$209+3,Предпосылки!$C$214="Есть льгота"),H201*H204,H202*H203)*H205,$D$198="Регион",IF(AND(H1&lt;Предпосылки!$G$209+3,Предпосылки!$C$214="Есть льгота"),H201*H204,H202*H203)*H205,$D$198="Федерация",H202*H203*H205),0)</f>
        <v>0</v>
      </c>
      <c r="I206" s="192" cm="1">
        <f t="array" ref="I206">IFERROR(_xlfn.IFS($D$198="ЗУ не разграничен",IF(AND(I1&lt;Предпосылки!$G$209+3,Предпосылки!$C$214="Есть льгота"),I201*I204,I202*I203)*I205,$D$198="Муниципалитет",IF(AND(I1&lt;Предпосылки!$G$209+3,Предпосылки!$C$214="Есть льгота"),I201*I204,I202*I203)*I205,$D$198="Регион",IF(AND(I1&lt;Предпосылки!$G$209+3,Предпосылки!$C$214="Есть льгота"),I201*I204,I202*I203)*I205,$D$198="Федерация",I202*I203*I205),0)</f>
        <v>0</v>
      </c>
      <c r="J206" s="192" cm="1">
        <f t="array" ref="J206">IFERROR(_xlfn.IFS($D$198="ЗУ не разграничен",IF(AND(J1&lt;Предпосылки!$G$209+3,Предпосылки!$C$214="Есть льгота"),J201*J204,J202*J203)*J205,$D$198="Муниципалитет",IF(AND(J1&lt;Предпосылки!$G$209+3,Предпосылки!$C$214="Есть льгота"),J201*J204,J202*J203)*J205,$D$198="Регион",IF(AND(J1&lt;Предпосылки!$G$209+3,Предпосылки!$C$214="Есть льгота"),J201*J204,J202*J203)*J205,$D$198="Федерация",J202*J203*J205),0)</f>
        <v>0</v>
      </c>
      <c r="K206" s="192" cm="1">
        <f t="array" ref="K206">IFERROR(_xlfn.IFS($D$198="ЗУ не разграничен",IF(AND(K1&lt;Предпосылки!$G$209+3,Предпосылки!$C$214="Есть льгота"),K201*K204,K202*K203)*K205,$D$198="Муниципалитет",IF(AND(K1&lt;Предпосылки!$G$209+3,Предпосылки!$C$214="Есть льгота"),K201*K204,K202*K203)*K205,$D$198="Регион",IF(AND(K1&lt;Предпосылки!$G$209+3,Предпосылки!$C$214="Есть льгота"),K201*K204,K202*K203)*K205,$D$198="Федерация",K202*K203*K205),0)</f>
        <v>0</v>
      </c>
      <c r="L206" s="192" cm="1">
        <f t="array" ref="L206">IFERROR(_xlfn.IFS($D$198="ЗУ не разграничен",IF(AND(L1&lt;Предпосылки!$G$209+3,Предпосылки!$C$214="Есть льгота"),L201*L204,L202*L203)*L205,$D$198="Муниципалитет",IF(AND(L1&lt;Предпосылки!$G$209+3,Предпосылки!$C$214="Есть льгота"),L201*L204,L202*L203)*L205,$D$198="Регион",IF(AND(L1&lt;Предпосылки!$G$209+3,Предпосылки!$C$214="Есть льгота"),L201*L204,L202*L203)*L205,$D$198="Федерация",L202*L203*L205),0)</f>
        <v>0</v>
      </c>
      <c r="M206" s="192" cm="1">
        <f t="array" ref="M206">IFERROR(_xlfn.IFS($D$198="ЗУ не разграничен",IF(AND(M1&lt;Предпосылки!$G$209+3,Предпосылки!$C$214="Есть льгота"),M201*M204,M202*M203)*M205,$D$198="Муниципалитет",IF(AND(M1&lt;Предпосылки!$G$209+3,Предпосылки!$C$214="Есть льгота"),M201*M204,M202*M203)*M205,$D$198="Регион",IF(AND(M1&lt;Предпосылки!$G$209+3,Предпосылки!$C$214="Есть льгота"),M201*M204,M202*M203)*M205,$D$198="Федерация",M202*M203*M205),0)</f>
        <v>0</v>
      </c>
      <c r="N206" s="192" cm="1">
        <f t="array" ref="N206">IFERROR(_xlfn.IFS($D$198="ЗУ не разграничен",IF(AND(N1&lt;Предпосылки!$G$209+3,Предпосылки!$C$214="Есть льгота"),N201*N204,N202*N203)*N205,$D$198="Муниципалитет",IF(AND(N1&lt;Предпосылки!$G$209+3,Предпосылки!$C$214="Есть льгота"),N201*N204,N202*N203)*N205,$D$198="Регион",IF(AND(N1&lt;Предпосылки!$G$209+3,Предпосылки!$C$214="Есть льгота"),N201*N204,N202*N203)*N205,$D$198="Федерация",N202*N203*N205),0)</f>
        <v>0</v>
      </c>
    </row>
    <row r="207" spans="1:14" x14ac:dyDescent="0.25">
      <c r="B207" s="380"/>
    </row>
    <row r="208" spans="1:14" x14ac:dyDescent="0.25">
      <c r="B208" s="173" t="s">
        <v>193</v>
      </c>
      <c r="D208" s="188"/>
    </row>
    <row r="209" spans="2:14" x14ac:dyDescent="0.25">
      <c r="B209" s="521" t="str">
        <f>Предпосылки!B219</f>
        <v>Кадастровый номер</v>
      </c>
      <c r="D209" s="522">
        <f>Предпосылки!G219</f>
        <v>0</v>
      </c>
    </row>
    <row r="210" spans="2:14" x14ac:dyDescent="0.25">
      <c r="B210" s="521" t="str">
        <f>Предпосылки!B220</f>
        <v>Год оформления в аренду</v>
      </c>
      <c r="D210" s="522">
        <f>Предпосылки!G220</f>
        <v>0</v>
      </c>
    </row>
    <row r="211" spans="2:14" x14ac:dyDescent="0.25">
      <c r="B211" s="521" t="str">
        <f>Предпосылки!B218</f>
        <v>Правообладатель земельного участка</v>
      </c>
      <c r="D211" s="522">
        <f>Предпосылки!G218</f>
        <v>0</v>
      </c>
    </row>
    <row r="212" spans="2:14" x14ac:dyDescent="0.25">
      <c r="B212" s="521" t="str">
        <f>Предпосылки!B226</f>
        <v>Категория земель</v>
      </c>
      <c r="D212" s="523" t="str">
        <f>IF(Предпосылки!G226,VLOOKUP(Предпосылки!G226,Предпосылки!A246:B252,2,),"Заполнено не верно или не заполнено")</f>
        <v>Заполнено не верно или не заполнено</v>
      </c>
    </row>
    <row r="213" spans="2:14" x14ac:dyDescent="0.25">
      <c r="B213" s="173"/>
      <c r="D213" s="210"/>
    </row>
    <row r="214" spans="2:14" x14ac:dyDescent="0.25">
      <c r="B214" s="378" t="s">
        <v>7</v>
      </c>
      <c r="D214" s="25" t="s">
        <v>37</v>
      </c>
      <c r="E214" s="40">
        <f>IF(VALUE(LEFT(E1,4))&gt;=Предпосылки!$G$220,Предпосылки!$G$221,0)/10000</f>
        <v>0</v>
      </c>
      <c r="F214" s="40">
        <f>IF(VALUE(LEFT(F1,4))&gt;=Предпосылки!$G$220,Предпосылки!$G$221,0)/10000</f>
        <v>0</v>
      </c>
      <c r="G214" s="40">
        <f>IF(VALUE(LEFT(G1,4))&gt;=Предпосылки!$G$220,Предпосылки!$G$221,0)/10000</f>
        <v>0</v>
      </c>
      <c r="H214" s="40">
        <f>IF(VALUE(LEFT(H1,4))&gt;=Предпосылки!$G$220,Предпосылки!$G$221,0)/10000</f>
        <v>0</v>
      </c>
      <c r="I214" s="40">
        <f>IF(VALUE(LEFT(I1,4))&gt;=Предпосылки!$G$220,Предпосылки!$G$221,0)/10000</f>
        <v>0</v>
      </c>
      <c r="J214" s="40">
        <f>IF(VALUE(LEFT(J1,4))&gt;=Предпосылки!$G$220,Предпосылки!$G$221,0)/10000</f>
        <v>0</v>
      </c>
      <c r="K214" s="40">
        <f>IF(VALUE(LEFT(K1,4))&gt;=Предпосылки!$G$220,Предпосылки!$G$221,0)/10000</f>
        <v>0</v>
      </c>
      <c r="L214" s="40">
        <f>IF(VALUE(LEFT(L1,4))&gt;=Предпосылки!$G$220,Предпосылки!$G$221,0)/10000</f>
        <v>0</v>
      </c>
      <c r="M214" s="40">
        <f>IF(VALUE(LEFT(M1,4))&gt;=Предпосылки!$G$220,Предпосылки!$G$221,0)/10000</f>
        <v>0</v>
      </c>
      <c r="N214" s="40">
        <f>IF(VALUE(LEFT(N1,4))&gt;=Предпосылки!$G$220,Предпосылки!$G$221,0)/10000</f>
        <v>0</v>
      </c>
    </row>
    <row r="215" spans="2:14" x14ac:dyDescent="0.25">
      <c r="B215" s="378" t="s">
        <v>38</v>
      </c>
      <c r="D215" s="188" t="s">
        <v>39</v>
      </c>
      <c r="E215" s="40">
        <f>IF(VALUE(LEFT(E1,4))&gt;=Предпосылки!$G$220,Предпосылки!$G$222,0)*E5</f>
        <v>0</v>
      </c>
      <c r="F215" s="40">
        <f>IF(VALUE(LEFT(F1,4))&gt;=Предпосылки!$G$220,Предпосылки!$G$222,0)*F5</f>
        <v>0</v>
      </c>
      <c r="G215" s="40">
        <f>IF(VALUE(LEFT(G1,4))&gt;=Предпосылки!$G$220,Предпосылки!$G$222,0)*G5</f>
        <v>0</v>
      </c>
      <c r="H215" s="40">
        <f>IF(VALUE(LEFT(H1,4))&gt;=Предпосылки!$G$220,Предпосылки!$G$222,0)*H5</f>
        <v>0</v>
      </c>
      <c r="I215" s="40">
        <f>IF(VALUE(LEFT(I1,4))&gt;=Предпосылки!$G$220,Предпосылки!$G$222,0)*I5</f>
        <v>0</v>
      </c>
      <c r="J215" s="40">
        <f>IF(VALUE(LEFT(J1,4))&gt;=Предпосылки!$G$220,Предпосылки!$G$222,0)*J5</f>
        <v>0</v>
      </c>
      <c r="K215" s="40">
        <f>IF(VALUE(LEFT(K1,4))&gt;=Предпосылки!$G$220,Предпосылки!$G$222,0)*K5</f>
        <v>0</v>
      </c>
      <c r="L215" s="40">
        <f>IF(VALUE(LEFT(L1,4))&gt;=Предпосылки!$G$220,Предпосылки!$G$222,0)*L5</f>
        <v>0</v>
      </c>
      <c r="M215" s="40">
        <f>IF(VALUE(LEFT(M1,4))&gt;=Предпосылки!$G$220,Предпосылки!$G$222,0)*M5</f>
        <v>0</v>
      </c>
      <c r="N215" s="40">
        <f>IF(VALUE(LEFT(N1,4))&gt;=Предпосылки!$G$220,Предпосылки!$G$222,0)*N5</f>
        <v>0</v>
      </c>
    </row>
    <row r="216" spans="2:14" x14ac:dyDescent="0.25">
      <c r="B216" s="378" t="s">
        <v>40</v>
      </c>
      <c r="D216" s="188" t="s">
        <v>14</v>
      </c>
      <c r="E216" s="214">
        <f>IF(VALUE(LEFT(E1,4))&gt;=Предпосылки!$G$220,Предпосылки!$G$223,0)</f>
        <v>0</v>
      </c>
      <c r="F216" s="214">
        <f>IF(VALUE(LEFT(F1,4))&gt;=Предпосылки!$G$220,Предпосылки!$G$223,0)</f>
        <v>0</v>
      </c>
      <c r="G216" s="214">
        <f>IF(VALUE(LEFT(G1,4))&gt;=Предпосылки!$G$220,Предпосылки!$G$223,0)</f>
        <v>0</v>
      </c>
      <c r="H216" s="214">
        <f>IF(VALUE(LEFT(H1,4))&gt;=Предпосылки!$G$220,Предпосылки!$G$223,0)</f>
        <v>0</v>
      </c>
      <c r="I216" s="214">
        <f>IF(VALUE(LEFT(I1,4))&gt;=Предпосылки!$G$220,Предпосылки!$G$223,0)</f>
        <v>0</v>
      </c>
      <c r="J216" s="214">
        <f>IF(VALUE(LEFT(J1,4))&gt;=Предпосылки!$G$220,Предпосылки!$G$223,0)</f>
        <v>0</v>
      </c>
      <c r="K216" s="214">
        <f>IF(VALUE(LEFT(K1,4))&gt;=Предпосылки!$G$220,Предпосылки!$G$223,0)</f>
        <v>0</v>
      </c>
      <c r="L216" s="214">
        <f>IF(VALUE(LEFT(L1,4))&gt;=Предпосылки!$G$220,Предпосылки!$G$223,0)</f>
        <v>0</v>
      </c>
      <c r="M216" s="214">
        <f>IF(VALUE(LEFT(M1,4))&gt;=Предпосылки!$G$220,Предпосылки!$G$223,0)</f>
        <v>0</v>
      </c>
      <c r="N216" s="214">
        <f>IF(VALUE(LEFT(N1,4))&gt;=Предпосылки!$G$220,Предпосылки!$G$223,0)</f>
        <v>0</v>
      </c>
    </row>
    <row r="217" spans="2:14" x14ac:dyDescent="0.25">
      <c r="B217" s="378" t="s">
        <v>42</v>
      </c>
      <c r="D217" s="188" t="s">
        <v>43</v>
      </c>
      <c r="E217" s="40">
        <f>IF(AND(E1&gt;=Предпосылки!$G$220,E1&lt;Предпосылки!$G$220+3),Предпосылки!$G$225,0)</f>
        <v>0</v>
      </c>
      <c r="F217" s="40">
        <f>IF(AND(F1&gt;=Предпосылки!$G$220,F1&lt;Предпосылки!$G$220+3),Предпосылки!$G$225,0)</f>
        <v>0</v>
      </c>
      <c r="G217" s="40">
        <f>IF(AND(G1&gt;=Предпосылки!$G$220,G1&lt;Предпосылки!$G$220+3),Предпосылки!$G$225,0)</f>
        <v>0</v>
      </c>
      <c r="H217" s="40">
        <f>IF(AND(H1&gt;=Предпосылки!$G$220,H1&lt;Предпосылки!$G$220+3),Предпосылки!$G$225,0)</f>
        <v>0</v>
      </c>
      <c r="I217" s="40">
        <f>IF(AND(I1&gt;=Предпосылки!$G$220,I1&lt;Предпосылки!$G$220+3),Предпосылки!$G$225,0)</f>
        <v>0</v>
      </c>
      <c r="J217" s="40">
        <f>IF(AND(J1&gt;=Предпосылки!$G$220,J1&lt;Предпосылки!$G$220+3),Предпосылки!$G$225,0)</f>
        <v>0</v>
      </c>
      <c r="K217" s="40">
        <f>IF(AND(K1&gt;=Предпосылки!$G$220,K1&lt;Предпосылки!$G$220+3),Предпосылки!$G$225,0)</f>
        <v>0</v>
      </c>
      <c r="L217" s="40">
        <f>IF(AND(L1&gt;=Предпосылки!$G$220,L1&lt;Предпосылки!$G$220+3),Предпосылки!$G$225,0)</f>
        <v>0</v>
      </c>
      <c r="M217" s="40">
        <f>IF(AND(M1&gt;=Предпосылки!$G$220,M1&lt;Предпосылки!$G$220+3),Предпосылки!$G$225,0)</f>
        <v>0</v>
      </c>
      <c r="N217" s="40">
        <f>IF(AND(N1&gt;=Предпосылки!$G$220,N1&lt;Предпосылки!$G$220+3),Предпосылки!$G$225,0)</f>
        <v>0</v>
      </c>
    </row>
    <row r="218" spans="2:14" x14ac:dyDescent="0.25">
      <c r="B218" s="378" t="s">
        <v>428</v>
      </c>
      <c r="D218" s="210" t="s">
        <v>36</v>
      </c>
      <c r="E218" s="517" cm="1">
        <f t="array" ref="E218">IFERROR(_xlfn.IFS($D$211="ЗУ не разграничен",IF(E214&gt;0,IF(E217&gt;0,100%,VLOOKUP(E1,Справочно!$B:$C,2,)),0%),$D$211="Муниципалитет",IF(E214&gt;0,IF(E217&gt;0,100%,VLOOKUP(E1,Справочно!$B:$C,2,)),0%),$D$211="Регион",IF(E214&gt;0,IF(E217&gt;0,100%,VLOOKUP(E1,Справочно!$B:$C,2,)),0%),$D$211="Федерация",E3),0)</f>
        <v>0</v>
      </c>
      <c r="F218" s="517" cm="1">
        <f t="array" ref="F218">IFERROR(_xlfn.IFS($D$211="ЗУ не разграничен",IF(F214&gt;0,IF(F217&gt;0,100%,VLOOKUP(F1,Справочно!$B:$C,2,)),0%),$D$211="Муниципалитет",IF(F214&gt;0,IF(F217&gt;0,100%,VLOOKUP(F1,Справочно!$B:$C,2,)),0%),$D$211="Регион",IF(F214&gt;0,IF(F217&gt;0,100%,VLOOKUP(F1,Справочно!$B:$C,2,)),0%),$D$211="Федерация",F3),0)</f>
        <v>0</v>
      </c>
      <c r="G218" s="517" cm="1">
        <f t="array" ref="G218">IFERROR(_xlfn.IFS($D$211="ЗУ не разграничен",IF(G214&gt;0,IF(G217&gt;0,100%,VLOOKUP(G1,Справочно!$B:$C,2,)),0%),$D$211="Муниципалитет",IF(G214&gt;0,IF(G217&gt;0,100%,VLOOKUP(G1,Справочно!$B:$C,2,)),0%),$D$211="Регион",IF(G214&gt;0,IF(G217&gt;0,100%,VLOOKUP(G1,Справочно!$B:$C,2,)),0%),$D$211="Федерация",G3),0)</f>
        <v>0</v>
      </c>
      <c r="H218" s="517" cm="1">
        <f t="array" ref="H218">IFERROR(_xlfn.IFS($D$211="ЗУ не разграничен",IF(H214&gt;0,IF(H217&gt;0,100%,VLOOKUP(H1,Справочно!$B:$C,2,)),0%),$D$211="Муниципалитет",IF(H214&gt;0,IF(H217&gt;0,100%,VLOOKUP(H1,Справочно!$B:$C,2,)),0%),$D$211="Регион",IF(H214&gt;0,IF(H217&gt;0,100%,VLOOKUP(H1,Справочно!$B:$C,2,)),0%),$D$211="Федерация",H3),0)</f>
        <v>0</v>
      </c>
      <c r="I218" s="517" cm="1">
        <f t="array" ref="I218">IFERROR(_xlfn.IFS($D$211="ЗУ не разграничен",IF(I214&gt;0,IF(I217&gt;0,100%,VLOOKUP(I1,Справочно!$B:$C,2,)),0%),$D$211="Муниципалитет",IF(I214&gt;0,IF(I217&gt;0,100%,VLOOKUP(I1,Справочно!$B:$C,2,)),0%),$D$211="Регион",IF(I214&gt;0,IF(I217&gt;0,100%,VLOOKUP(I1,Справочно!$B:$C,2,)),0%),$D$211="Федерация",I3),0)</f>
        <v>0</v>
      </c>
      <c r="J218" s="517" cm="1">
        <f t="array" ref="J218">IFERROR(_xlfn.IFS($D$211="ЗУ не разграничен",IF(J214&gt;0,IF(J217&gt;0,100%,VLOOKUP(J1,Справочно!$B:$C,2,)),0%),$D$211="Муниципалитет",IF(J214&gt;0,IF(J217&gt;0,100%,VLOOKUP(J1,Справочно!$B:$C,2,)),0%),$D$211="Регион",IF(J214&gt;0,IF(J217&gt;0,100%,VLOOKUP(J1,Справочно!$B:$C,2,)),0%),$D$211="Федерация",J3),0)</f>
        <v>0</v>
      </c>
      <c r="K218" s="517" cm="1">
        <f t="array" ref="K218">IFERROR(_xlfn.IFS($D$211="ЗУ не разграничен",IF(K214&gt;0,IF(K217&gt;0,100%,VLOOKUP(K1,Справочно!$B:$C,2,)),0%),$D$211="Муниципалитет",IF(K214&gt;0,IF(K217&gt;0,100%,VLOOKUP(K1,Справочно!$B:$C,2,)),0%),$D$211="Регион",IF(K214&gt;0,IF(K217&gt;0,100%,VLOOKUP(K1,Справочно!$B:$C,2,)),0%),$D$211="Федерация",K3),0)</f>
        <v>0</v>
      </c>
      <c r="L218" s="517" cm="1">
        <f t="array" ref="L218">IFERROR(_xlfn.IFS($D$211="ЗУ не разграничен",IF(L214&gt;0,IF(L217&gt;0,100%,VLOOKUP(L1,Справочно!$B:$C,2,)),0%),$D$211="Муниципалитет",IF(L214&gt;0,IF(L217&gt;0,100%,VLOOKUP(L1,Справочно!$B:$C,2,)),0%),$D$211="Регион",IF(L214&gt;0,IF(L217&gt;0,100%,VLOOKUP(L1,Справочно!$B:$C,2,)),0%),$D$211="Федерация",L3),0)</f>
        <v>0</v>
      </c>
      <c r="M218" s="517" cm="1">
        <f t="array" ref="M218">IFERROR(_xlfn.IFS($D$211="ЗУ не разграничен",IF(M214&gt;0,IF(M217&gt;0,100%,VLOOKUP(M1,Справочно!$B:$C,2,)),0%),$D$211="Муниципалитет",IF(M214&gt;0,IF(M217&gt;0,100%,VLOOKUP(M1,Справочно!$B:$C,2,)),0%),$D$211="Регион",IF(M214&gt;0,IF(M217&gt;0,100%,VLOOKUP(M1,Справочно!$B:$C,2,)),0%),$D$211="Федерация",M3),0)</f>
        <v>0</v>
      </c>
      <c r="N218" s="517" cm="1">
        <f t="array" ref="N218">IFERROR(_xlfn.IFS($D$211="ЗУ не разграничен",IF(N214&gt;0,IF(N217&gt;0,100%,VLOOKUP(N1,Справочно!$B:$C,2,)),0%),$D$211="Муниципалитет",IF(N214&gt;0,IF(N217&gt;0,100%,VLOOKUP(N1,Справочно!$B:$C,2,)),0%),$D$211="Регион",IF(N214&gt;0,IF(N217&gt;0,100%,VLOOKUP(N1,Справочно!$B:$C,2,)),0%),$D$211="Федерация",N3),0)</f>
        <v>0</v>
      </c>
    </row>
    <row r="219" spans="2:14" x14ac:dyDescent="0.25">
      <c r="B219" s="379" t="s">
        <v>196</v>
      </c>
      <c r="C219" s="21"/>
      <c r="D219" s="11" t="s">
        <v>39</v>
      </c>
      <c r="E219" s="192" cm="1">
        <f t="array" ref="E219">IFERROR(_xlfn.IFS($D$211="ЗУ не разграничен",IF(AND(E1&lt;Предпосылки!$G$220+3,Предпосылки!$C$225="Есть льгота"),E214*E217,E215*E216),$D$211="Муниципалитет",IF(AND(E1&lt;Предпосылки!$G$220+3,Предпосылки!$C$225="Есть льгота"),E214*E217,E215*E216),$D$211="Регион",IF(AND(E1&lt;Предпосылки!$G$220+3,Предпосылки!$C$225="Есть льгота"),E214*E217,E215*E216),$D$211="Федерация",E215*E216*E218),0)</f>
        <v>0</v>
      </c>
      <c r="F219" s="192" cm="1">
        <f t="array" ref="F219">IFERROR(_xlfn.IFS($D$211="ЗУ не разграничен",IF(AND(F1&lt;Предпосылки!$G$220+3,Предпосылки!$C$225="Есть льгота"),F214*F217,F215*F216),$D$211="Муниципалитет",IF(AND(F1&lt;Предпосылки!$G$220+3,Предпосылки!$C$225="Есть льгота"),F214*F217,F215*F216),$D$211="Регион",IF(AND(F1&lt;Предпосылки!$G$220+3,Предпосылки!$C$225="Есть льгота"),F214*F217,F215*F216),$D$211="Федерация",F215*F216*F218),0)</f>
        <v>0</v>
      </c>
      <c r="G219" s="192" cm="1">
        <f t="array" ref="G219">IFERROR(_xlfn.IFS($D$211="ЗУ не разграничен",IF(AND(G1&lt;Предпосылки!$G$220+3,Предпосылки!$C$225="Есть льгота"),G214*G217,G215*G216),$D$211="Муниципалитет",IF(AND(G1&lt;Предпосылки!$G$220+3,Предпосылки!$C$225="Есть льгота"),G214*G217,G215*G216),$D$211="Регион",IF(AND(G1&lt;Предпосылки!$G$220+3,Предпосылки!$C$225="Есть льгота"),G214*G217,G215*G216),$D$211="Федерация",G215*G216*G218),0)</f>
        <v>0</v>
      </c>
      <c r="H219" s="192" cm="1">
        <f t="array" ref="H219">IFERROR(_xlfn.IFS($D$211="ЗУ не разграничен",IF(AND(H1&lt;Предпосылки!$G$220+3,Предпосылки!$C$225="Есть льгота"),H214*H217,H215*H216),$D$211="Муниципалитет",IF(AND(H1&lt;Предпосылки!$G$220+3,Предпосылки!$C$225="Есть льгота"),H214*H217,H215*H216),$D$211="Регион",IF(AND(H1&lt;Предпосылки!$G$220+3,Предпосылки!$C$225="Есть льгота"),H214*H217,H215*H216),$D$211="Федерация",H215*H216*H218),0)</f>
        <v>0</v>
      </c>
      <c r="I219" s="192" cm="1">
        <f t="array" ref="I219">IFERROR(_xlfn.IFS($D$211="ЗУ не разграничен",IF(AND(I1&lt;Предпосылки!$G$220+3,Предпосылки!$C$225="Есть льгота"),I214*I217,I215*I216),$D$211="Муниципалитет",IF(AND(I1&lt;Предпосылки!$G$220+3,Предпосылки!$C$225="Есть льгота"),I214*I217,I215*I216),$D$211="Регион",IF(AND(I1&lt;Предпосылки!$G$220+3,Предпосылки!$C$225="Есть льгота"),I214*I217,I215*I216),$D$211="Федерация",I215*I216*I218),0)</f>
        <v>0</v>
      </c>
      <c r="J219" s="192" cm="1">
        <f t="array" ref="J219">IFERROR(_xlfn.IFS($D$211="ЗУ не разграничен",IF(AND(J1&lt;Предпосылки!$G$220+3,Предпосылки!$C$225="Есть льгота"),J214*J217,J215*J216),$D$211="Муниципалитет",IF(AND(J1&lt;Предпосылки!$G$220+3,Предпосылки!$C$225="Есть льгота"),J214*J217,J215*J216),$D$211="Регион",IF(AND(J1&lt;Предпосылки!$G$220+3,Предпосылки!$C$225="Есть льгота"),J214*J217,J215*J216),$D$211="Федерация",J215*J216*J218),0)</f>
        <v>0</v>
      </c>
      <c r="K219" s="192" cm="1">
        <f t="array" ref="K219">IFERROR(_xlfn.IFS($D$211="ЗУ не разграничен",IF(AND(K1&lt;Предпосылки!$G$220+3,Предпосылки!$C$225="Есть льгота"),K214*K217,K215*K216),$D$211="Муниципалитет",IF(AND(K1&lt;Предпосылки!$G$220+3,Предпосылки!$C$225="Есть льгота"),K214*K217,K215*K216),$D$211="Регион",IF(AND(K1&lt;Предпосылки!$G$220+3,Предпосылки!$C$225="Есть льгота"),K214*K217,K215*K216),$D$211="Федерация",K215*K216*K218),0)</f>
        <v>0</v>
      </c>
      <c r="L219" s="192" cm="1">
        <f t="array" ref="L219">IFERROR(_xlfn.IFS($D$211="ЗУ не разграничен",IF(AND(L1&lt;Предпосылки!$G$220+3,Предпосылки!$C$225="Есть льгота"),L214*L217,L215*L216),$D$211="Муниципалитет",IF(AND(L1&lt;Предпосылки!$G$220+3,Предпосылки!$C$225="Есть льгота"),L214*L217,L215*L216),$D$211="Регион",IF(AND(L1&lt;Предпосылки!$G$220+3,Предпосылки!$C$225="Есть льгота"),L214*L217,L215*L216),$D$211="Федерация",L215*L216*L218),0)</f>
        <v>0</v>
      </c>
      <c r="M219" s="192" cm="1">
        <f t="array" ref="M219">IFERROR(_xlfn.IFS($D$211="ЗУ не разграничен",IF(AND(M1&lt;Предпосылки!$G$220+3,Предпосылки!$C$225="Есть льгота"),M214*M217,M215*M216),$D$211="Муниципалитет",IF(AND(M1&lt;Предпосылки!$G$220+3,Предпосылки!$C$225="Есть льгота"),M214*M217,M215*M216),$D$211="Регион",IF(AND(M1&lt;Предпосылки!$G$220+3,Предпосылки!$C$225="Есть льгота"),M214*M217,M215*M216),$D$211="Федерация",M215*M216*M218),0)</f>
        <v>0</v>
      </c>
      <c r="N219" s="192" cm="1">
        <f t="array" ref="N219">IFERROR(_xlfn.IFS($D$211="ЗУ не разграничен",IF(AND(N1&lt;Предпосылки!$G$220+3,Предпосылки!$C$225="Есть льгота"),N214*N217,N215*N216),$D$211="Муниципалитет",IF(AND(N1&lt;Предпосылки!$G$220+3,Предпосылки!$C$225="Есть льгота"),N214*N217,N215*N216),$D$211="Регион",IF(AND(N1&lt;Предпосылки!$G$220+3,Предпосылки!$C$225="Есть льгота"),N214*N217,N215*N216),$D$211="Федерация",N215*N216*N218),0)</f>
        <v>0</v>
      </c>
    </row>
    <row r="220" spans="2:14" x14ac:dyDescent="0.25">
      <c r="B220" s="380"/>
      <c r="D220" s="188"/>
    </row>
    <row r="221" spans="2:14" x14ac:dyDescent="0.25">
      <c r="B221" s="173" t="s">
        <v>194</v>
      </c>
      <c r="D221" s="188"/>
    </row>
    <row r="222" spans="2:14" x14ac:dyDescent="0.25">
      <c r="B222" s="521" t="str">
        <f>Предпосылки!B230</f>
        <v>Кадастровый номер</v>
      </c>
      <c r="D222" s="522">
        <f>Предпосылки!G230</f>
        <v>0</v>
      </c>
    </row>
    <row r="223" spans="2:14" x14ac:dyDescent="0.25">
      <c r="B223" s="521" t="str">
        <f>Предпосылки!B231</f>
        <v>Год оформления в аренду</v>
      </c>
      <c r="D223" s="522">
        <f>Предпосылки!G231</f>
        <v>0</v>
      </c>
    </row>
    <row r="224" spans="2:14" x14ac:dyDescent="0.25">
      <c r="B224" s="521" t="str">
        <f>Предпосылки!B229</f>
        <v>Правообладатель земельного участка</v>
      </c>
      <c r="D224" s="522">
        <f>Предпосылки!G229</f>
        <v>0</v>
      </c>
    </row>
    <row r="225" spans="2:14" x14ac:dyDescent="0.25">
      <c r="B225" s="521" t="str">
        <f>Предпосылки!B237</f>
        <v>Категория земель</v>
      </c>
      <c r="D225" s="523" t="str">
        <f>IF(Предпосылки!G237,VLOOKUP(Предпосылки!G237,Предпосылки!A246:B252,2,),"Заполнено не верно или не заполнено")</f>
        <v>Заполнено не верно или не заполнено</v>
      </c>
    </row>
    <row r="226" spans="2:14" x14ac:dyDescent="0.25">
      <c r="B226" s="173"/>
      <c r="D226" s="210"/>
    </row>
    <row r="227" spans="2:14" x14ac:dyDescent="0.25">
      <c r="B227" s="378" t="s">
        <v>7</v>
      </c>
      <c r="D227" s="25" t="s">
        <v>37</v>
      </c>
      <c r="E227" s="40">
        <f>IF(VALUE(LEFT(E1,4))&gt;=Предпосылки!$G$231,Предпосылки!$G$232,0)/10000</f>
        <v>0</v>
      </c>
      <c r="F227" s="40">
        <f>IF(VALUE(LEFT(F1,4))&gt;=Предпосылки!$G$231,Предпосылки!$G$232,0)/10000</f>
        <v>0</v>
      </c>
      <c r="G227" s="40">
        <f>IF(VALUE(LEFT(G1,4))&gt;=Предпосылки!$G$231,Предпосылки!$G$232,0)/10000</f>
        <v>0</v>
      </c>
      <c r="H227" s="40">
        <f>IF(VALUE(LEFT(H1,4))&gt;=Предпосылки!$G$231,Предпосылки!$G$232,0)/10000</f>
        <v>0</v>
      </c>
      <c r="I227" s="40">
        <f>IF(VALUE(LEFT(I1,4))&gt;=Предпосылки!$G$231,Предпосылки!$G$232,0)/10000</f>
        <v>0</v>
      </c>
      <c r="J227" s="40">
        <f>IF(VALUE(LEFT(J1,4))&gt;=Предпосылки!$G$231,Предпосылки!$G$232,0)/10000</f>
        <v>0</v>
      </c>
      <c r="K227" s="40">
        <f>IF(VALUE(LEFT(K1,4))&gt;=Предпосылки!$G$231,Предпосылки!$G$232,0)/10000</f>
        <v>0</v>
      </c>
      <c r="L227" s="40">
        <f>IF(VALUE(LEFT(L1,4))&gt;=Предпосылки!$G$231,Предпосылки!$G$232,0)/10000</f>
        <v>0</v>
      </c>
      <c r="M227" s="40">
        <f>IF(VALUE(LEFT(M1,4))&gt;=Предпосылки!$G$231,Предпосылки!$G$232,0)/10000</f>
        <v>0</v>
      </c>
      <c r="N227" s="40">
        <f>IF(VALUE(LEFT(N1,4))&gt;=Предпосылки!$G$231,Предпосылки!$G$232,0)/10000</f>
        <v>0</v>
      </c>
    </row>
    <row r="228" spans="2:14" x14ac:dyDescent="0.25">
      <c r="B228" s="378" t="s">
        <v>38</v>
      </c>
      <c r="D228" s="188" t="s">
        <v>39</v>
      </c>
      <c r="E228" s="40">
        <f>IF(VALUE(LEFT(E1,4))&gt;=Предпосылки!$G$231,Предпосылки!$G$233,0)*E5</f>
        <v>0</v>
      </c>
      <c r="F228" s="40">
        <f>IF(VALUE(LEFT(F1,4))&gt;=Предпосылки!$G$231,Предпосылки!$G$233,0)*F5</f>
        <v>0</v>
      </c>
      <c r="G228" s="40">
        <f>IF(VALUE(LEFT(G1,4))&gt;=Предпосылки!$G$231,Предпосылки!$G$233,0)*G5</f>
        <v>0</v>
      </c>
      <c r="H228" s="40">
        <f>IF(VALUE(LEFT(H1,4))&gt;=Предпосылки!$G$231,Предпосылки!$G$233,0)*H5</f>
        <v>0</v>
      </c>
      <c r="I228" s="40">
        <f>IF(VALUE(LEFT(I1,4))&gt;=Предпосылки!$G$231,Предпосылки!$G$233,0)*I5</f>
        <v>0</v>
      </c>
      <c r="J228" s="40">
        <f>IF(VALUE(LEFT(J1,4))&gt;=Предпосылки!$G$231,Предпосылки!$G$233,0)*J5</f>
        <v>0</v>
      </c>
      <c r="K228" s="40">
        <f>IF(VALUE(LEFT(K1,4))&gt;=Предпосылки!$G$231,Предпосылки!$G$233,0)*K5</f>
        <v>0</v>
      </c>
      <c r="L228" s="40">
        <f>IF(VALUE(LEFT(L1,4))&gt;=Предпосылки!$G$231,Предпосылки!$G$233,0)*L5</f>
        <v>0</v>
      </c>
      <c r="M228" s="40">
        <f>IF(VALUE(LEFT(M1,4))&gt;=Предпосылки!$G$231,Предпосылки!$G$233,0)*M5</f>
        <v>0</v>
      </c>
      <c r="N228" s="40">
        <f>IF(VALUE(LEFT(N1,4))&gt;=Предпосылки!$G$231,Предпосылки!$G$233,0)*N5</f>
        <v>0</v>
      </c>
    </row>
    <row r="229" spans="2:14" x14ac:dyDescent="0.25">
      <c r="B229" s="378" t="s">
        <v>40</v>
      </c>
      <c r="D229" s="188" t="s">
        <v>14</v>
      </c>
      <c r="E229" s="214">
        <f>IF(VALUE(LEFT(E1,4))&gt;=Предпосылки!$G$231,Предпосылки!$G$234,0)</f>
        <v>0</v>
      </c>
      <c r="F229" s="214">
        <f>IF(VALUE(LEFT(F1,4))&gt;=Предпосылки!$G$231,Предпосылки!$G$234,0)</f>
        <v>0</v>
      </c>
      <c r="G229" s="214">
        <f>IF(VALUE(LEFT(G1,4))&gt;=Предпосылки!$G$231,Предпосылки!$G$234,0)</f>
        <v>0</v>
      </c>
      <c r="H229" s="214">
        <f>IF(VALUE(LEFT(H1,4))&gt;=Предпосылки!$G$231,Предпосылки!$G$234,0)</f>
        <v>0</v>
      </c>
      <c r="I229" s="214">
        <f>IF(VALUE(LEFT(I1,4))&gt;=Предпосылки!$G$231,Предпосылки!$G$234,0)</f>
        <v>0</v>
      </c>
      <c r="J229" s="214">
        <f>IF(VALUE(LEFT(J1,4))&gt;=Предпосылки!$G$231,Предпосылки!$G$234,0)</f>
        <v>0</v>
      </c>
      <c r="K229" s="214">
        <f>IF(VALUE(LEFT(K1,4))&gt;=Предпосылки!$G$231,Предпосылки!$G$234,0)</f>
        <v>0</v>
      </c>
      <c r="L229" s="214">
        <f>IF(VALUE(LEFT(L1,4))&gt;=Предпосылки!$G$231,Предпосылки!$G$234,0)</f>
        <v>0</v>
      </c>
      <c r="M229" s="214">
        <f>IF(VALUE(LEFT(M1,4))&gt;=Предпосылки!$G$231,Предпосылки!$G$234,0)</f>
        <v>0</v>
      </c>
      <c r="N229" s="214">
        <f>IF(VALUE(LEFT(N1,4))&gt;=Предпосылки!$G$231,Предпосылки!$G$234,0)</f>
        <v>0</v>
      </c>
    </row>
    <row r="230" spans="2:14" x14ac:dyDescent="0.25">
      <c r="B230" s="378" t="s">
        <v>42</v>
      </c>
      <c r="D230" s="188" t="s">
        <v>43</v>
      </c>
      <c r="E230" s="40">
        <f>IF(AND(E1&gt;=Предпосылки!$G$231,E1&lt;Предпосылки!$G$231+3),Предпосылки!$G$236,0)</f>
        <v>0</v>
      </c>
      <c r="F230" s="40">
        <f>IF(AND(F1&gt;=Предпосылки!$G$231,F1&lt;Предпосылки!$G$231+3),Предпосылки!$G$236,0)</f>
        <v>0</v>
      </c>
      <c r="G230" s="40">
        <f>IF(AND(G1&gt;=Предпосылки!$G$231,G1&lt;Предпосылки!$G$231+3),Предпосылки!$G$236,0)</f>
        <v>0</v>
      </c>
      <c r="H230" s="40">
        <f>IF(AND(H1&gt;=Предпосылки!$G$231,H1&lt;Предпосылки!$G$231+3),Предпосылки!$G$236,0)</f>
        <v>0</v>
      </c>
      <c r="I230" s="40">
        <f>IF(AND(I1&gt;=Предпосылки!$G$231,I1&lt;Предпосылки!$G$231+3),Предпосылки!$G$236,0)</f>
        <v>0</v>
      </c>
      <c r="J230" s="40">
        <f>IF(AND(J1&gt;=Предпосылки!$G$231,J1&lt;Предпосылки!$G$231+3),Предпосылки!$G$236,0)</f>
        <v>0</v>
      </c>
      <c r="K230" s="40">
        <f>IF(AND(K1&gt;=Предпосылки!$G$231,K1&lt;Предпосылки!$G$231+3),Предпосылки!$G$236,0)</f>
        <v>0</v>
      </c>
      <c r="L230" s="40">
        <f>IF(AND(L1&gt;=Предпосылки!$G$231,L1&lt;Предпосылки!$G$231+3),Предпосылки!$G$236,0)</f>
        <v>0</v>
      </c>
      <c r="M230" s="40">
        <f>IF(AND(M1&gt;=Предпосылки!$G$231,M1&lt;Предпосылки!$G$231+3),Предпосылки!$G$236,0)</f>
        <v>0</v>
      </c>
      <c r="N230" s="40">
        <f>IF(AND(N1&gt;=Предпосылки!$G$231,N1&lt;Предпосылки!$G$231+3),Предпосылки!$G$236,0)</f>
        <v>0</v>
      </c>
    </row>
    <row r="231" spans="2:14" x14ac:dyDescent="0.25">
      <c r="B231" s="378" t="s">
        <v>428</v>
      </c>
      <c r="D231" s="210" t="s">
        <v>36</v>
      </c>
      <c r="E231" s="516" cm="1">
        <f t="array" ref="E231">IFERROR(_xlfn.IFS($D$224="ЗУ не разграничен",IF(E227&gt;0,IF(E230&gt;0,100%,VLOOKUP(E1,Справочно!$B:$C,2,)),0%),$D$224="Муниципалитет",IF(E227&gt;0,IF(E230&gt;0,100%,VLOOKUP(E1,Справочно!$B:$C,2,)),0%),$D$224="Регион",IF(E227&gt;0,IF(E230&gt;0,100%,VLOOKUP(E1,Справочно!$B:$C,2,)),0%),$D$224="Федерация",E3),0)</f>
        <v>0</v>
      </c>
      <c r="F231" s="516" cm="1">
        <f t="array" ref="F231">IFERROR(_xlfn.IFS($D$224="ЗУ не разграничен",IF(F227&gt;0,IF(F230&gt;0,100%,VLOOKUP(F1,Справочно!$B:$C,2,)),0%),$D$224="Муниципалитет",IF(F227&gt;0,IF(F230&gt;0,100%,VLOOKUP(F1,Справочно!$B:$C,2,)),0%),$D$224="Регион",IF(F227&gt;0,IF(F230&gt;0,100%,VLOOKUP(F1,Справочно!$B:$C,2,)),0%),$D$224="Федерация",F3),0)</f>
        <v>0</v>
      </c>
      <c r="G231" s="516" cm="1">
        <f t="array" ref="G231">IFERROR(_xlfn.IFS($D$224="ЗУ не разграничен",IF(G227&gt;0,IF(G230&gt;0,100%,VLOOKUP(G1,Справочно!$B:$C,2,)),0%),$D$224="Муниципалитет",IF(G227&gt;0,IF(G230&gt;0,100%,VLOOKUP(G1,Справочно!$B:$C,2,)),0%),$D$224="Регион",IF(G227&gt;0,IF(G230&gt;0,100%,VLOOKUP(G1,Справочно!$B:$C,2,)),0%),$D$224="Федерация",G3),0)</f>
        <v>0</v>
      </c>
      <c r="H231" s="516" cm="1">
        <f t="array" ref="H231">IFERROR(_xlfn.IFS($D$224="ЗУ не разграничен",IF(H227&gt;0,IF(H230&gt;0,100%,VLOOKUP(H1,Справочно!$B:$C,2,)),0%),$D$224="Муниципалитет",IF(H227&gt;0,IF(H230&gt;0,100%,VLOOKUP(H1,Справочно!$B:$C,2,)),0%),$D$224="Регион",IF(H227&gt;0,IF(H230&gt;0,100%,VLOOKUP(H1,Справочно!$B:$C,2,)),0%),$D$224="Федерация",H3),0)</f>
        <v>0</v>
      </c>
      <c r="I231" s="516" cm="1">
        <f t="array" ref="I231">IFERROR(_xlfn.IFS($D$224="ЗУ не разграничен",IF(I227&gt;0,IF(I230&gt;0,100%,VLOOKUP(I1,Справочно!$B:$C,2,)),0%),$D$224="Муниципалитет",IF(I227&gt;0,IF(I230&gt;0,100%,VLOOKUP(I1,Справочно!$B:$C,2,)),0%),$D$224="Регион",IF(I227&gt;0,IF(I230&gt;0,100%,VLOOKUP(I1,Справочно!$B:$C,2,)),0%),$D$224="Федерация",I3),0)</f>
        <v>0</v>
      </c>
      <c r="J231" s="516" cm="1">
        <f t="array" ref="J231">IFERROR(_xlfn.IFS($D$224="ЗУ не разграничен",IF(J227&gt;0,IF(J230&gt;0,100%,VLOOKUP(J1,Справочно!$B:$C,2,)),0%),$D$224="Муниципалитет",IF(J227&gt;0,IF(J230&gt;0,100%,VLOOKUP(J1,Справочно!$B:$C,2,)),0%),$D$224="Регион",IF(J227&gt;0,IF(J230&gt;0,100%,VLOOKUP(J1,Справочно!$B:$C,2,)),0%),$D$224="Федерация",J3),0)</f>
        <v>0</v>
      </c>
      <c r="K231" s="516" cm="1">
        <f t="array" ref="K231">IFERROR(_xlfn.IFS($D$224="ЗУ не разграничен",IF(K227&gt;0,IF(K230&gt;0,100%,VLOOKUP(K1,Справочно!$B:$C,2,)),0%),$D$224="Муниципалитет",IF(K227&gt;0,IF(K230&gt;0,100%,VLOOKUP(K1,Справочно!$B:$C,2,)),0%),$D$224="Регион",IF(K227&gt;0,IF(K230&gt;0,100%,VLOOKUP(K1,Справочно!$B:$C,2,)),0%),$D$224="Федерация",K3),0)</f>
        <v>0</v>
      </c>
      <c r="L231" s="516" cm="1">
        <f t="array" ref="L231">IFERROR(_xlfn.IFS($D$224="ЗУ не разграничен",IF(L227&gt;0,IF(L230&gt;0,100%,VLOOKUP(L1,Справочно!$B:$C,2,)),0%),$D$224="Муниципалитет",IF(L227&gt;0,IF(L230&gt;0,100%,VLOOKUP(L1,Справочно!$B:$C,2,)),0%),$D$224="Регион",IF(L227&gt;0,IF(L230&gt;0,100%,VLOOKUP(L1,Справочно!$B:$C,2,)),0%),$D$224="Федерация",L3),0)</f>
        <v>0</v>
      </c>
      <c r="M231" s="516" cm="1">
        <f t="array" ref="M231">IFERROR(_xlfn.IFS($D$224="ЗУ не разграничен",IF(M227&gt;0,IF(M230&gt;0,100%,VLOOKUP(M1,Справочно!$B:$C,2,)),0%),$D$224="Муниципалитет",IF(M227&gt;0,IF(M230&gt;0,100%,VLOOKUP(M1,Справочно!$B:$C,2,)),0%),$D$224="Регион",IF(M227&gt;0,IF(M230&gt;0,100%,VLOOKUP(M1,Справочно!$B:$C,2,)),0%),$D$224="Федерация",M3),0)</f>
        <v>0</v>
      </c>
      <c r="N231" s="516" cm="1">
        <f t="array" ref="N231">IFERROR(_xlfn.IFS($D$224="ЗУ не разграничен",IF(N227&gt;0,IF(N230&gt;0,100%,VLOOKUP(N1,Справочно!$B:$C,2,)),0%),$D$224="Муниципалитет",IF(N227&gt;0,IF(N230&gt;0,100%,VLOOKUP(N1,Справочно!$B:$C,2,)),0%),$D$224="Регион",IF(N227&gt;0,IF(N230&gt;0,100%,VLOOKUP(N1,Справочно!$B:$C,2,)),0%),$D$224="Федерация",N3),0)</f>
        <v>0</v>
      </c>
    </row>
    <row r="232" spans="2:14" x14ac:dyDescent="0.25">
      <c r="B232" s="379" t="s">
        <v>196</v>
      </c>
      <c r="C232" s="21"/>
      <c r="D232" s="11" t="s">
        <v>39</v>
      </c>
      <c r="E232" s="192" cm="1">
        <f t="array" ref="E232">IFERROR(_xlfn.IFS($D$224="ЗУ не разграничен",IF(AND(E1&lt;Предпосылки!$G$231+3,Предпосылки!$C$236="Есть льгота"),E227*E230,E228*E229),$D$224="Муниципалитет",IF(AND(E1&lt;Предпосылки!$G$231+3,Предпосылки!$C$236="Есть льгота"),E227*E230,E228*E229),$D$224="Регион",IF(AND(E1&lt;Предпосылки!$G$231+3,Предпосылки!$C$236="Есть льгота"),E227*E230,E228*E229),$D$224="Федерация",E228*E229*E231),0)</f>
        <v>0</v>
      </c>
      <c r="F232" s="192" cm="1">
        <f t="array" ref="F232">IFERROR(_xlfn.IFS($D$224="ЗУ не разграничен",IF(AND(F1&lt;Предпосылки!$G$231+3,Предпосылки!$C$236="Есть льгота"),F227*F230,F228*F229),$D$224="Муниципалитет",IF(AND(F1&lt;Предпосылки!$G$231+3,Предпосылки!$C$236="Есть льгота"),F227*F230,F228*F229),$D$224="Регион",IF(AND(F1&lt;Предпосылки!$G$231+3,Предпосылки!$C$236="Есть льгота"),F227*F230,F228*F229),$D$224="Федерация",F228*F229*F231),0)</f>
        <v>0</v>
      </c>
      <c r="G232" s="192" cm="1">
        <f t="array" ref="G232">IFERROR(_xlfn.IFS($D$224="ЗУ не разграничен",IF(AND(G1&lt;Предпосылки!$G$231+3,Предпосылки!$C$236="Есть льгота"),G227*G230,G228*G229),$D$224="Муниципалитет",IF(AND(G1&lt;Предпосылки!$G$231+3,Предпосылки!$C$236="Есть льгота"),G227*G230,G228*G229),$D$224="Регион",IF(AND(G1&lt;Предпосылки!$G$231+3,Предпосылки!$C$236="Есть льгота"),G227*G230,G228*G229),$D$224="Федерация",G228*G229*G231),0)</f>
        <v>0</v>
      </c>
      <c r="H232" s="192" cm="1">
        <f t="array" ref="H232">IFERROR(_xlfn.IFS($D$224="ЗУ не разграничен",IF(AND(H1&lt;Предпосылки!$G$231+3,Предпосылки!$C$236="Есть льгота"),H227*H230,H228*H229),$D$224="Муниципалитет",IF(AND(H1&lt;Предпосылки!$G$231+3,Предпосылки!$C$236="Есть льгота"),H227*H230,H228*H229),$D$224="Регион",IF(AND(H1&lt;Предпосылки!$G$231+3,Предпосылки!$C$236="Есть льгота"),H227*H230,H228*H229),$D$224="Федерация",H228*H229*H231),0)</f>
        <v>0</v>
      </c>
      <c r="I232" s="192" cm="1">
        <f t="array" ref="I232">IFERROR(_xlfn.IFS($D$224="ЗУ не разграничен",IF(AND(I1&lt;Предпосылки!$G$231+3,Предпосылки!$C$236="Есть льгота"),I227*I230,I228*I229),$D$224="Муниципалитет",IF(AND(I1&lt;Предпосылки!$G$231+3,Предпосылки!$C$236="Есть льгота"),I227*I230,I228*I229),$D$224="Регион",IF(AND(I1&lt;Предпосылки!$G$231+3,Предпосылки!$C$236="Есть льгота"),I227*I230,I228*I229),$D$224="Федерация",I228*I229*I231),0)</f>
        <v>0</v>
      </c>
      <c r="J232" s="192" cm="1">
        <f t="array" ref="J232">IFERROR(_xlfn.IFS($D$224="ЗУ не разграничен",IF(AND(J1&lt;Предпосылки!$G$231+3,Предпосылки!$C$236="Есть льгота"),J227*J230,J228*J229),$D$224="Муниципалитет",IF(AND(J1&lt;Предпосылки!$G$231+3,Предпосылки!$C$236="Есть льгота"),J227*J230,J228*J229),$D$224="Регион",IF(AND(J1&lt;Предпосылки!$G$231+3,Предпосылки!$C$236="Есть льгота"),J227*J230,J228*J229),$D$224="Федерация",J228*J229*J231),0)</f>
        <v>0</v>
      </c>
      <c r="K232" s="192" cm="1">
        <f t="array" ref="K232">IFERROR(_xlfn.IFS($D$224="ЗУ не разграничен",IF(AND(K1&lt;Предпосылки!$G$231+3,Предпосылки!$C$236="Есть льгота"),K227*K230,K228*K229),$D$224="Муниципалитет",IF(AND(K1&lt;Предпосылки!$G$231+3,Предпосылки!$C$236="Есть льгота"),K227*K230,K228*K229),$D$224="Регион",IF(AND(K1&lt;Предпосылки!$G$231+3,Предпосылки!$C$236="Есть льгота"),K227*K230,K228*K229),$D$224="Федерация",K228*K229*K231),0)</f>
        <v>0</v>
      </c>
      <c r="L232" s="192" cm="1">
        <f t="array" ref="L232">IFERROR(_xlfn.IFS($D$224="ЗУ не разграничен",IF(AND(L1&lt;Предпосылки!$G$231+3,Предпосылки!$C$236="Есть льгота"),L227*L230,L228*L229),$D$224="Муниципалитет",IF(AND(L1&lt;Предпосылки!$G$231+3,Предпосылки!$C$236="Есть льгота"),L227*L230,L228*L229),$D$224="Регион",IF(AND(L1&lt;Предпосылки!$G$231+3,Предпосылки!$C$236="Есть льгота"),L227*L230,L228*L229),$D$224="Федерация",L228*L229*L231),0)</f>
        <v>0</v>
      </c>
      <c r="M232" s="192" cm="1">
        <f t="array" ref="M232">IFERROR(_xlfn.IFS($D$224="ЗУ не разграничен",IF(AND(M1&lt;Предпосылки!$G$231+3,Предпосылки!$C$236="Есть льгота"),M227*M230,M228*M229),$D$224="Муниципалитет",IF(AND(M1&lt;Предпосылки!$G$231+3,Предпосылки!$C$236="Есть льгота"),M227*M230,M228*M229),$D$224="Регион",IF(AND(M1&lt;Предпосылки!$G$231+3,Предпосылки!$C$236="Есть льгота"),M227*M230,M228*M229),$D$224="Федерация",M228*M229*M231),0)</f>
        <v>0</v>
      </c>
      <c r="N232" s="192" cm="1">
        <f t="array" ref="N232">IFERROR(_xlfn.IFS($D$224="ЗУ не разграничен",IF(AND(N1&lt;Предпосылки!$G$231+3,Предпосылки!$C$236="Есть льгота"),N227*N230,N228*N229),$D$224="Муниципалитет",IF(AND(N1&lt;Предпосылки!$G$231+3,Предпосылки!$C$236="Есть льгота"),N227*N230,N228*N229),$D$224="Регион",IF(AND(N1&lt;Предпосылки!$G$231+3,Предпосылки!$C$236="Есть льгота"),N227*N230,N228*N229),$D$224="Федерация",N228*N229*N231),0)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148"/>
  <sheetViews>
    <sheetView showGridLines="0" zoomScale="85" zoomScaleNormal="85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H8" sqref="H8"/>
    </sheetView>
  </sheetViews>
  <sheetFormatPr defaultColWidth="8.85546875" defaultRowHeight="15" x14ac:dyDescent="0.25"/>
  <cols>
    <col min="1" max="1" width="3.7109375" style="198" customWidth="1"/>
    <col min="2" max="2" width="72.140625" style="1" customWidth="1"/>
    <col min="3" max="5" width="9.28515625" style="7" customWidth="1"/>
    <col min="6" max="6" width="2.42578125" style="7" customWidth="1"/>
    <col min="7" max="7" width="8.85546875" style="6"/>
    <col min="8" max="18" width="9.7109375" style="7" customWidth="1"/>
  </cols>
  <sheetData>
    <row r="1" spans="1:19" x14ac:dyDescent="0.25">
      <c r="C1" s="2"/>
      <c r="D1" s="2"/>
      <c r="E1" s="2"/>
      <c r="F1" s="3"/>
      <c r="G1" s="2" t="s">
        <v>52</v>
      </c>
      <c r="H1" s="2">
        <f>Предпосылки!G24</f>
        <v>2022</v>
      </c>
      <c r="I1" s="2">
        <f>Предпосылки!H24</f>
        <v>2023</v>
      </c>
      <c r="J1" s="2">
        <f>Предпосылки!I24</f>
        <v>2024</v>
      </c>
      <c r="K1" s="2">
        <f>Предпосылки!J24</f>
        <v>2025</v>
      </c>
      <c r="L1" s="2">
        <f>Предпосылки!K24</f>
        <v>2026</v>
      </c>
      <c r="M1" s="2">
        <f>Предпосылки!L24</f>
        <v>2027</v>
      </c>
      <c r="N1" s="2">
        <f>Предпосылки!M24</f>
        <v>2028</v>
      </c>
      <c r="O1" s="2">
        <f>Предпосылки!N24</f>
        <v>2029</v>
      </c>
      <c r="P1" s="2">
        <f>Предпосылки!O24</f>
        <v>2030</v>
      </c>
      <c r="Q1" s="2">
        <f>Предпосылки!P24</f>
        <v>2031</v>
      </c>
      <c r="R1" s="15" t="s">
        <v>6</v>
      </c>
    </row>
    <row r="2" spans="1:19" x14ac:dyDescent="0.25">
      <c r="C2" s="2"/>
      <c r="D2" s="2"/>
      <c r="E2" s="2"/>
      <c r="F2" s="3"/>
      <c r="G2" s="2"/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>
        <v>8</v>
      </c>
      <c r="P2" s="4">
        <v>9</v>
      </c>
      <c r="Q2" s="4">
        <v>10</v>
      </c>
      <c r="R2" s="16"/>
    </row>
    <row r="3" spans="1:19" x14ac:dyDescent="0.25">
      <c r="B3" s="1" t="s">
        <v>56</v>
      </c>
      <c r="G3" s="210" t="s">
        <v>14</v>
      </c>
      <c r="H3" s="27">
        <f>'Доходы и расходы'!E3</f>
        <v>1.085</v>
      </c>
      <c r="I3" s="27">
        <f>'Доходы и расходы'!F3</f>
        <v>1.1576949999999999</v>
      </c>
      <c r="J3" s="27">
        <f>'Доходы и расходы'!G3</f>
        <v>1.2155797500000001</v>
      </c>
      <c r="K3" s="27">
        <f>'Доходы и расходы'!H3</f>
        <v>1.2642029400000001</v>
      </c>
      <c r="L3" s="27">
        <f>'Доходы и расходы'!I3</f>
        <v>1.3147710576000002</v>
      </c>
      <c r="M3" s="27">
        <f>'Доходы и расходы'!J3</f>
        <v>1.3673618999040003</v>
      </c>
      <c r="N3" s="27">
        <f>'Доходы и расходы'!K3</f>
        <v>1.4220563759001603</v>
      </c>
      <c r="O3" s="27">
        <f>'Доходы и расходы'!L3</f>
        <v>1.4789386309361667</v>
      </c>
      <c r="P3" s="27">
        <f>'Доходы и расходы'!M3</f>
        <v>1.5380961761736134</v>
      </c>
      <c r="Q3" s="27">
        <f>'Доходы и расходы'!N3</f>
        <v>1.599620023220558</v>
      </c>
    </row>
    <row r="5" spans="1:19" x14ac:dyDescent="0.25">
      <c r="B5" s="189" t="s">
        <v>225</v>
      </c>
      <c r="C5" s="191"/>
      <c r="D5" s="191"/>
      <c r="E5" s="191"/>
      <c r="G5" s="243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</row>
    <row r="6" spans="1:19" x14ac:dyDescent="0.25">
      <c r="B6" s="28"/>
      <c r="C6" s="29"/>
      <c r="D6" s="29"/>
      <c r="E6" s="29"/>
      <c r="F6" s="29"/>
      <c r="G6" s="46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9" x14ac:dyDescent="0.25">
      <c r="B7" s="162" t="s">
        <v>197</v>
      </c>
      <c r="C7" s="162"/>
      <c r="D7" s="162"/>
      <c r="E7" s="162"/>
      <c r="F7" s="162"/>
      <c r="G7" s="470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</row>
    <row r="8" spans="1:19" x14ac:dyDescent="0.25">
      <c r="A8" s="198" t="s">
        <v>151</v>
      </c>
      <c r="B8" s="435" t="str">
        <f>Предпосылки!B301</f>
        <v>Здания и сооружения</v>
      </c>
      <c r="C8" s="218"/>
      <c r="D8" s="218"/>
      <c r="E8" s="218"/>
      <c r="G8" s="210" t="s">
        <v>39</v>
      </c>
      <c r="H8" s="10">
        <f>IF(Предпосылки!$C$323="С инфляцией",Предпосылки!G301,Предпосылки!G301*H$3)</f>
        <v>54250</v>
      </c>
      <c r="I8" s="10">
        <f>IF(Предпосылки!$C$323="С инфляцией",Предпосылки!H301,Предпосылки!H301*I$3)</f>
        <v>34730.85</v>
      </c>
      <c r="J8" s="10">
        <f>IF(Предпосылки!$C$323="С инфляцией",Предпосылки!I301,Предпосылки!I301*J$3)</f>
        <v>0</v>
      </c>
      <c r="K8" s="10">
        <f>IF(Предпосылки!$C$323="С инфляцией",Предпосылки!J301,Предпосылки!J301*K$3)</f>
        <v>0</v>
      </c>
      <c r="L8" s="10">
        <f>IF(Предпосылки!$C$323="С инфляцией",Предпосылки!K301,Предпосылки!K301*L$3)</f>
        <v>0</v>
      </c>
      <c r="M8" s="10">
        <f>IF(Предпосылки!$C$323="С инфляцией",Предпосылки!L301,Предпосылки!L301*M$3)</f>
        <v>0</v>
      </c>
      <c r="N8" s="10">
        <f>IF(Предпосылки!$C$323="С инфляцией",Предпосылки!M301,Предпосылки!M301*N$3)</f>
        <v>0</v>
      </c>
      <c r="O8" s="10">
        <f>IF(Предпосылки!$C$323="С инфляцией",Предпосылки!N301,Предпосылки!N301*O$3)</f>
        <v>0</v>
      </c>
      <c r="P8" s="10">
        <f>IF(Предпосылки!$C$323="С инфляцией",Предпосылки!O301,Предпосылки!O301*P$3)</f>
        <v>0</v>
      </c>
      <c r="Q8" s="10">
        <f>IF(Предпосылки!$C$323="С инфляцией",Предпосылки!P301,Предпосылки!P301*Q$3)</f>
        <v>0</v>
      </c>
      <c r="R8" s="270">
        <f t="shared" ref="R8:R28" si="0">SUM(H8:Q8)</f>
        <v>88980.85</v>
      </c>
      <c r="S8" s="33"/>
    </row>
    <row r="9" spans="1:19" x14ac:dyDescent="0.25">
      <c r="A9" s="198" t="s">
        <v>152</v>
      </c>
      <c r="B9" s="435" t="str">
        <f>Предпосылки!B302</f>
        <v>Инженерные сети</v>
      </c>
      <c r="C9" s="218"/>
      <c r="D9" s="218"/>
      <c r="E9" s="218"/>
      <c r="G9" s="210" t="s">
        <v>39</v>
      </c>
      <c r="H9" s="10">
        <f>IF(Предпосылки!$C$323="С инфляцией",Предпосылки!G302,Предпосылки!G302*H$3)</f>
        <v>3255</v>
      </c>
      <c r="I9" s="10">
        <f>IF(Предпосылки!$C$323="С инфляцией",Предпосылки!H302,Предпосылки!H302*I$3)</f>
        <v>2315.39</v>
      </c>
      <c r="J9" s="10">
        <f>IF(Предпосылки!$C$323="С инфляцией",Предпосылки!I302,Предпосылки!I302*J$3)</f>
        <v>0</v>
      </c>
      <c r="K9" s="10">
        <f>IF(Предпосылки!$C$323="С инфляцией",Предпосылки!J302,Предпосылки!J302*K$3)</f>
        <v>0</v>
      </c>
      <c r="L9" s="10">
        <f>IF(Предпосылки!$C$323="С инфляцией",Предпосылки!K302,Предпосылки!K302*L$3)</f>
        <v>0</v>
      </c>
      <c r="M9" s="10">
        <f>IF(Предпосылки!$C$323="С инфляцией",Предпосылки!L302,Предпосылки!L302*M$3)</f>
        <v>0</v>
      </c>
      <c r="N9" s="10">
        <f>IF(Предпосылки!$C$323="С инфляцией",Предпосылки!M302,Предпосылки!M302*N$3)</f>
        <v>0</v>
      </c>
      <c r="O9" s="10">
        <f>IF(Предпосылки!$C$323="С инфляцией",Предпосылки!N302,Предпосылки!N302*O$3)</f>
        <v>0</v>
      </c>
      <c r="P9" s="10">
        <f>IF(Предпосылки!$C$323="С инфляцией",Предпосылки!O302,Предпосылки!O302*P$3)</f>
        <v>0</v>
      </c>
      <c r="Q9" s="10">
        <f>IF(Предпосылки!$C$323="С инфляцией",Предпосылки!P302,Предпосылки!P302*Q$3)</f>
        <v>0</v>
      </c>
      <c r="R9" s="270">
        <f t="shared" si="0"/>
        <v>5570.3899999999994</v>
      </c>
      <c r="S9" s="33"/>
    </row>
    <row r="10" spans="1:19" x14ac:dyDescent="0.25">
      <c r="A10" s="198" t="s">
        <v>153</v>
      </c>
      <c r="B10" s="435" t="str">
        <f>Предпосылки!B303</f>
        <v>Оборудование</v>
      </c>
      <c r="C10" s="218"/>
      <c r="D10" s="218"/>
      <c r="E10" s="218"/>
      <c r="G10" s="210" t="s">
        <v>39</v>
      </c>
      <c r="H10" s="10">
        <f>IF(Предпосылки!$C$323="С инфляцией",Предпосылки!G303,Предпосылки!G303*H$3)</f>
        <v>0</v>
      </c>
      <c r="I10" s="10">
        <f>IF(Предпосылки!$C$323="С инфляцией",Предпосылки!H303,Предпосылки!H303*I$3)</f>
        <v>34730.85</v>
      </c>
      <c r="J10" s="10">
        <f>IF(Предпосылки!$C$323="С инфляцией",Предпосылки!I303,Предпосылки!I303*J$3)</f>
        <v>2431.1595000000002</v>
      </c>
      <c r="K10" s="10">
        <f>IF(Предпосылки!$C$323="С инфляцией",Предпосылки!J303,Предпосылки!J303*K$3)</f>
        <v>0</v>
      </c>
      <c r="L10" s="10">
        <f>IF(Предпосылки!$C$323="С инфляцией",Предпосылки!K303,Предпосылки!K303*L$3)</f>
        <v>0</v>
      </c>
      <c r="M10" s="10">
        <f>IF(Предпосылки!$C$323="С инфляцией",Предпосылки!L303,Предпосылки!L303*M$3)</f>
        <v>0</v>
      </c>
      <c r="N10" s="10">
        <f>IF(Предпосылки!$C$323="С инфляцией",Предпосылки!M303,Предпосылки!M303*N$3)</f>
        <v>0</v>
      </c>
      <c r="O10" s="10">
        <f>IF(Предпосылки!$C$323="С инфляцией",Предпосылки!N303,Предпосылки!N303*O$3)</f>
        <v>0</v>
      </c>
      <c r="P10" s="10">
        <f>IF(Предпосылки!$C$323="С инфляцией",Предпосылки!O303,Предпосылки!O303*P$3)</f>
        <v>0</v>
      </c>
      <c r="Q10" s="10">
        <f>IF(Предпосылки!$C$323="С инфляцией",Предпосылки!P303,Предпосылки!P303*Q$3)</f>
        <v>0</v>
      </c>
      <c r="R10" s="270">
        <f t="shared" si="0"/>
        <v>37162.0095</v>
      </c>
      <c r="S10" s="33"/>
    </row>
    <row r="11" spans="1:19" x14ac:dyDescent="0.25">
      <c r="A11" s="198" t="s">
        <v>154</v>
      </c>
      <c r="B11" s="435" t="str">
        <f>Предпосылки!B304</f>
        <v>Транспорт</v>
      </c>
      <c r="C11" s="218"/>
      <c r="D11" s="218"/>
      <c r="E11" s="218"/>
      <c r="G11" s="210" t="s">
        <v>39</v>
      </c>
      <c r="H11" s="10">
        <f>IF(Предпосылки!$C$323="С инфляцией",Предпосылки!G304,Предпосылки!G304*H$3)</f>
        <v>0</v>
      </c>
      <c r="I11" s="10">
        <f>IF(Предпосылки!$C$323="С инфляцией",Предпосылки!H304,Предпосылки!H304*I$3)</f>
        <v>28942.374999999996</v>
      </c>
      <c r="J11" s="10">
        <f>IF(Предпосылки!$C$323="С инфляцией",Предпосылки!I304,Предпосылки!I304*J$3)</f>
        <v>0</v>
      </c>
      <c r="K11" s="10">
        <f>IF(Предпосылки!$C$323="С инфляцией",Предпосылки!J304,Предпосылки!J304*K$3)</f>
        <v>0</v>
      </c>
      <c r="L11" s="10">
        <f>IF(Предпосылки!$C$323="С инфляцией",Предпосылки!K304,Предпосылки!K304*L$3)</f>
        <v>0</v>
      </c>
      <c r="M11" s="10">
        <f>IF(Предпосылки!$C$323="С инфляцией",Предпосылки!L304,Предпосылки!L304*M$3)</f>
        <v>0</v>
      </c>
      <c r="N11" s="10">
        <f>IF(Предпосылки!$C$323="С инфляцией",Предпосылки!M304,Предпосылки!M304*N$3)</f>
        <v>0</v>
      </c>
      <c r="O11" s="10">
        <f>IF(Предпосылки!$C$323="С инфляцией",Предпосылки!N304,Предпосылки!N304*O$3)</f>
        <v>0</v>
      </c>
      <c r="P11" s="10">
        <f>IF(Предпосылки!$C$323="С инфляцией",Предпосылки!O304,Предпосылки!O304*P$3)</f>
        <v>0</v>
      </c>
      <c r="Q11" s="10">
        <f>IF(Предпосылки!$C$323="С инфляцией",Предпосылки!P304,Предпосылки!P304*Q$3)</f>
        <v>0</v>
      </c>
      <c r="R11" s="270">
        <f t="shared" si="0"/>
        <v>28942.374999999996</v>
      </c>
      <c r="S11" s="33"/>
    </row>
    <row r="12" spans="1:19" x14ac:dyDescent="0.25">
      <c r="A12" s="198" t="s">
        <v>155</v>
      </c>
      <c r="B12" s="435" t="str">
        <f>Предпосылки!B305</f>
        <v>Дороги</v>
      </c>
      <c r="C12" s="218"/>
      <c r="D12" s="218"/>
      <c r="E12" s="218"/>
      <c r="G12" s="210" t="s">
        <v>39</v>
      </c>
      <c r="H12" s="10">
        <f>IF(Предпосылки!$C$323="С инфляцией",Предпосылки!G305,Предпосылки!G305*H$3)</f>
        <v>5425</v>
      </c>
      <c r="I12" s="10">
        <f>IF(Предпосылки!$C$323="С инфляцией",Предпосылки!H305,Предпосылки!H305*I$3)</f>
        <v>23153.899999999998</v>
      </c>
      <c r="J12" s="10">
        <f>IF(Предпосылки!$C$323="С инфляцией",Предпосылки!I305,Предпосылки!I305*J$3)</f>
        <v>0</v>
      </c>
      <c r="K12" s="10">
        <f>IF(Предпосылки!$C$323="С инфляцией",Предпосылки!J305,Предпосылки!J305*K$3)</f>
        <v>0</v>
      </c>
      <c r="L12" s="10">
        <f>IF(Предпосылки!$C$323="С инфляцией",Предпосылки!K305,Предпосылки!K305*L$3)</f>
        <v>0</v>
      </c>
      <c r="M12" s="10">
        <f>IF(Предпосылки!$C$323="С инфляцией",Предпосылки!L305,Предпосылки!L305*M$3)</f>
        <v>0</v>
      </c>
      <c r="N12" s="10">
        <f>IF(Предпосылки!$C$323="С инфляцией",Предпосылки!M305,Предпосылки!M305*N$3)</f>
        <v>0</v>
      </c>
      <c r="O12" s="10">
        <f>IF(Предпосылки!$C$323="С инфляцией",Предпосылки!N305,Предпосылки!N305*O$3)</f>
        <v>0</v>
      </c>
      <c r="P12" s="10">
        <f>IF(Предпосылки!$C$323="С инфляцией",Предпосылки!O305,Предпосылки!O305*P$3)</f>
        <v>0</v>
      </c>
      <c r="Q12" s="10">
        <f>IF(Предпосылки!$C$323="С инфляцией",Предпосылки!P305,Предпосылки!P305*Q$3)</f>
        <v>0</v>
      </c>
      <c r="R12" s="270">
        <f t="shared" si="0"/>
        <v>28578.899999999998</v>
      </c>
      <c r="S12" s="33"/>
    </row>
    <row r="13" spans="1:19" x14ac:dyDescent="0.25">
      <c r="A13" s="198" t="s">
        <v>156</v>
      </c>
      <c r="B13" s="435" t="str">
        <f>Предпосылки!B306</f>
        <v>HMA</v>
      </c>
      <c r="C13" s="218"/>
      <c r="D13" s="218"/>
      <c r="E13" s="218"/>
      <c r="G13" s="210" t="s">
        <v>39</v>
      </c>
      <c r="H13" s="10">
        <f>IF(Предпосылки!$C$323="С инфляцией",Предпосылки!G306,Предпосылки!G306*H$3)</f>
        <v>0</v>
      </c>
      <c r="I13" s="10">
        <f>IF(Предпосылки!$C$323="С инфляцией",Предпосылки!H306,Предпосылки!H306*I$3)</f>
        <v>1157.6949999999999</v>
      </c>
      <c r="J13" s="10">
        <f>IF(Предпосылки!$C$323="С инфляцией",Предпосылки!I306,Предпосылки!I306*J$3)</f>
        <v>0</v>
      </c>
      <c r="K13" s="10">
        <f>IF(Предпосылки!$C$323="С инфляцией",Предпосылки!J306,Предпосылки!J306*K$3)</f>
        <v>0</v>
      </c>
      <c r="L13" s="10">
        <f>IF(Предпосылки!$C$323="С инфляцией",Предпосылки!K306,Предпосылки!K306*L$3)</f>
        <v>0</v>
      </c>
      <c r="M13" s="10">
        <f>IF(Предпосылки!$C$323="С инфляцией",Предпосылки!L306,Предпосылки!L306*M$3)</f>
        <v>0</v>
      </c>
      <c r="N13" s="10">
        <f>IF(Предпосылки!$C$323="С инфляцией",Предпосылки!M306,Предпосылки!M306*N$3)</f>
        <v>0</v>
      </c>
      <c r="O13" s="10">
        <f>IF(Предпосылки!$C$323="С инфляцией",Предпосылки!N306,Предпосылки!N306*O$3)</f>
        <v>0</v>
      </c>
      <c r="P13" s="10">
        <f>IF(Предпосылки!$C$323="С инфляцией",Предпосылки!O306,Предпосылки!O306*P$3)</f>
        <v>0</v>
      </c>
      <c r="Q13" s="10">
        <f>IF(Предпосылки!$C$323="С инфляцией",Предпосылки!P306,Предпосылки!P306*Q$3)</f>
        <v>0</v>
      </c>
      <c r="R13" s="270">
        <f t="shared" si="0"/>
        <v>1157.6949999999999</v>
      </c>
      <c r="S13" s="33"/>
    </row>
    <row r="14" spans="1:19" x14ac:dyDescent="0.25">
      <c r="A14" s="198" t="s">
        <v>157</v>
      </c>
      <c r="B14" s="435" t="str">
        <f>Предпосылки!B307</f>
        <v>Подготовительные расходы (ПИР, СМР)</v>
      </c>
      <c r="C14" s="218"/>
      <c r="D14" s="218"/>
      <c r="E14" s="218"/>
      <c r="G14" s="210" t="s">
        <v>39</v>
      </c>
      <c r="H14" s="10">
        <f>IF(Предпосылки!$C$323="С инфляцией",Предпосылки!G307,Предпосылки!G307*H$3)</f>
        <v>3255</v>
      </c>
      <c r="I14" s="10">
        <f>IF(Предпосылки!$C$323="С инфляцией",Предпосылки!H307,Предпосылки!H307*I$3)</f>
        <v>2315.39</v>
      </c>
      <c r="J14" s="10">
        <f>IF(Предпосылки!$C$323="С инфляцией",Предпосылки!I307,Предпосылки!I307*J$3)</f>
        <v>0</v>
      </c>
      <c r="K14" s="10">
        <f>IF(Предпосылки!$C$323="С инфляцией",Предпосылки!J307,Предпосылки!J307*K$3)</f>
        <v>0</v>
      </c>
      <c r="L14" s="10">
        <f>IF(Предпосылки!$C$323="С инфляцией",Предпосылки!K307,Предпосылки!K307*L$3)</f>
        <v>0</v>
      </c>
      <c r="M14" s="10">
        <f>IF(Предпосылки!$C$323="С инфляцией",Предпосылки!L307,Предпосылки!L307*M$3)</f>
        <v>0</v>
      </c>
      <c r="N14" s="10">
        <f>IF(Предпосылки!$C$323="С инфляцией",Предпосылки!M307,Предпосылки!M307*N$3)</f>
        <v>0</v>
      </c>
      <c r="O14" s="10">
        <f>IF(Предпосылки!$C$323="С инфляцией",Предпосылки!N307,Предпосылки!N307*O$3)</f>
        <v>0</v>
      </c>
      <c r="P14" s="10">
        <f>IF(Предпосылки!$C$323="С инфляцией",Предпосылки!O307,Предпосылки!O307*P$3)</f>
        <v>0</v>
      </c>
      <c r="Q14" s="10">
        <f>IF(Предпосылки!$C$323="С инфляцией",Предпосылки!P307,Предпосылки!P307*Q$3)</f>
        <v>0</v>
      </c>
      <c r="R14" s="270">
        <f t="shared" si="0"/>
        <v>5570.3899999999994</v>
      </c>
      <c r="S14" s="33"/>
    </row>
    <row r="15" spans="1:19" x14ac:dyDescent="0.25">
      <c r="A15" s="198" t="s">
        <v>158</v>
      </c>
      <c r="B15" s="435">
        <f>Предпосылки!B308</f>
        <v>0</v>
      </c>
      <c r="C15" s="218"/>
      <c r="D15" s="218"/>
      <c r="E15" s="218"/>
      <c r="G15" s="210" t="s">
        <v>39</v>
      </c>
      <c r="H15" s="10">
        <f>IF(Предпосылки!$C$323="С инфляцией",Предпосылки!G308,Предпосылки!G308*H$3)</f>
        <v>0</v>
      </c>
      <c r="I15" s="10">
        <f>IF(Предпосылки!$C$323="С инфляцией",Предпосылки!H308,Предпосылки!H308*I$3)</f>
        <v>0</v>
      </c>
      <c r="J15" s="10">
        <f>IF(Предпосылки!$C$323="С инфляцией",Предпосылки!I308,Предпосылки!I308*J$3)</f>
        <v>0</v>
      </c>
      <c r="K15" s="10">
        <f>IF(Предпосылки!$C$323="С инфляцией",Предпосылки!J308,Предпосылки!J308*K$3)</f>
        <v>0</v>
      </c>
      <c r="L15" s="10">
        <f>IF(Предпосылки!$C$323="С инфляцией",Предпосылки!K308,Предпосылки!K308*L$3)</f>
        <v>0</v>
      </c>
      <c r="M15" s="10">
        <f>IF(Предпосылки!$C$323="С инфляцией",Предпосылки!L308,Предпосылки!L308*M$3)</f>
        <v>0</v>
      </c>
      <c r="N15" s="10">
        <f>IF(Предпосылки!$C$323="С инфляцией",Предпосылки!M308,Предпосылки!M308*N$3)</f>
        <v>0</v>
      </c>
      <c r="O15" s="10">
        <f>IF(Предпосылки!$C$323="С инфляцией",Предпосылки!N308,Предпосылки!N308*O$3)</f>
        <v>0</v>
      </c>
      <c r="P15" s="10">
        <f>IF(Предпосылки!$C$323="С инфляцией",Предпосылки!O308,Предпосылки!O308*P$3)</f>
        <v>0</v>
      </c>
      <c r="Q15" s="10">
        <f>IF(Предпосылки!$C$323="С инфляцией",Предпосылки!P308,Предпосылки!P308*Q$3)</f>
        <v>0</v>
      </c>
      <c r="R15" s="270">
        <f t="shared" si="0"/>
        <v>0</v>
      </c>
      <c r="S15" s="33"/>
    </row>
    <row r="16" spans="1:19" x14ac:dyDescent="0.25">
      <c r="A16" s="198" t="s">
        <v>159</v>
      </c>
      <c r="B16" s="435">
        <f>Предпосылки!B309</f>
        <v>0</v>
      </c>
      <c r="C16" s="218"/>
      <c r="D16" s="218"/>
      <c r="E16" s="218"/>
      <c r="G16" s="210" t="s">
        <v>39</v>
      </c>
      <c r="H16" s="10">
        <f>IF(Предпосылки!$C$323="С инфляцией",Предпосылки!G309,Предпосылки!G309*H$3)</f>
        <v>0</v>
      </c>
      <c r="I16" s="10">
        <f>IF(Предпосылки!$C$323="С инфляцией",Предпосылки!H309,Предпосылки!H309*I$3)</f>
        <v>0</v>
      </c>
      <c r="J16" s="10">
        <f>IF(Предпосылки!$C$323="С инфляцией",Предпосылки!I309,Предпосылки!I309*J$3)</f>
        <v>0</v>
      </c>
      <c r="K16" s="10">
        <f>IF(Предпосылки!$C$323="С инфляцией",Предпосылки!J309,Предпосылки!J309*K$3)</f>
        <v>0</v>
      </c>
      <c r="L16" s="10">
        <f>IF(Предпосылки!$C$323="С инфляцией",Предпосылки!K309,Предпосылки!K309*L$3)</f>
        <v>0</v>
      </c>
      <c r="M16" s="10">
        <f>IF(Предпосылки!$C$323="С инфляцией",Предпосылки!L309,Предпосылки!L309*M$3)</f>
        <v>0</v>
      </c>
      <c r="N16" s="10">
        <f>IF(Предпосылки!$C$323="С инфляцией",Предпосылки!M309,Предпосылки!M309*N$3)</f>
        <v>0</v>
      </c>
      <c r="O16" s="10">
        <f>IF(Предпосылки!$C$323="С инфляцией",Предпосылки!N309,Предпосылки!N309*O$3)</f>
        <v>0</v>
      </c>
      <c r="P16" s="10">
        <f>IF(Предпосылки!$C$323="С инфляцией",Предпосылки!O309,Предпосылки!O309*P$3)</f>
        <v>0</v>
      </c>
      <c r="Q16" s="10">
        <f>IF(Предпосылки!$C$323="С инфляцией",Предпосылки!P309,Предпосылки!P309*Q$3)</f>
        <v>0</v>
      </c>
      <c r="R16" s="270">
        <f t="shared" si="0"/>
        <v>0</v>
      </c>
      <c r="S16" s="33"/>
    </row>
    <row r="17" spans="1:20" x14ac:dyDescent="0.25">
      <c r="A17" s="198" t="s">
        <v>160</v>
      </c>
      <c r="B17" s="435">
        <f>Предпосылки!B310</f>
        <v>0</v>
      </c>
      <c r="C17" s="218"/>
      <c r="D17" s="218"/>
      <c r="E17" s="218"/>
      <c r="G17" s="210" t="s">
        <v>39</v>
      </c>
      <c r="H17" s="10">
        <f>IF(Предпосылки!$C$323="С инфляцией",Предпосылки!G310,Предпосылки!G310*H$3)</f>
        <v>0</v>
      </c>
      <c r="I17" s="10">
        <f>IF(Предпосылки!$C$323="С инфляцией",Предпосылки!H310,Предпосылки!H310*I$3)</f>
        <v>0</v>
      </c>
      <c r="J17" s="10">
        <f>IF(Предпосылки!$C$323="С инфляцией",Предпосылки!I310,Предпосылки!I310*J$3)</f>
        <v>0</v>
      </c>
      <c r="K17" s="10">
        <f>IF(Предпосылки!$C$323="С инфляцией",Предпосылки!J310,Предпосылки!J310*K$3)</f>
        <v>0</v>
      </c>
      <c r="L17" s="10">
        <f>IF(Предпосылки!$C$323="С инфляцией",Предпосылки!K310,Предпосылки!K310*L$3)</f>
        <v>0</v>
      </c>
      <c r="M17" s="10">
        <f>IF(Предпосылки!$C$323="С инфляцией",Предпосылки!L310,Предпосылки!L310*M$3)</f>
        <v>0</v>
      </c>
      <c r="N17" s="10">
        <f>IF(Предпосылки!$C$323="С инфляцией",Предпосылки!M310,Предпосылки!M310*N$3)</f>
        <v>0</v>
      </c>
      <c r="O17" s="10">
        <f>IF(Предпосылки!$C$323="С инфляцией",Предпосылки!N310,Предпосылки!N310*O$3)</f>
        <v>0</v>
      </c>
      <c r="P17" s="10">
        <f>IF(Предпосылки!$C$323="С инфляцией",Предпосылки!O310,Предпосылки!O310*P$3)</f>
        <v>0</v>
      </c>
      <c r="Q17" s="10">
        <f>IF(Предпосылки!$C$323="С инфляцией",Предпосылки!P310,Предпосылки!P310*Q$3)</f>
        <v>0</v>
      </c>
      <c r="R17" s="270">
        <f t="shared" si="0"/>
        <v>0</v>
      </c>
      <c r="S17" s="33"/>
    </row>
    <row r="18" spans="1:20" x14ac:dyDescent="0.25">
      <c r="A18" s="198" t="s">
        <v>168</v>
      </c>
      <c r="B18" s="435">
        <f>Предпосылки!B311</f>
        <v>0</v>
      </c>
      <c r="C18" s="218"/>
      <c r="D18" s="218"/>
      <c r="E18" s="218"/>
      <c r="G18" s="210" t="s">
        <v>39</v>
      </c>
      <c r="H18" s="10">
        <f>IF(Предпосылки!$C$323="С инфляцией",Предпосылки!G311,Предпосылки!G311*H$3)</f>
        <v>0</v>
      </c>
      <c r="I18" s="10">
        <f>IF(Предпосылки!$C$323="С инфляцией",Предпосылки!H311,Предпосылки!H311*I$3)</f>
        <v>0</v>
      </c>
      <c r="J18" s="10">
        <f>IF(Предпосылки!$C$323="С инфляцией",Предпосылки!I311,Предпосылки!I311*J$3)</f>
        <v>0</v>
      </c>
      <c r="K18" s="10">
        <f>IF(Предпосылки!$C$323="С инфляцией",Предпосылки!J311,Предпосылки!J311*K$3)</f>
        <v>0</v>
      </c>
      <c r="L18" s="10">
        <f>IF(Предпосылки!$C$323="С инфляцией",Предпосылки!K311,Предпосылки!K311*L$3)</f>
        <v>0</v>
      </c>
      <c r="M18" s="10">
        <f>IF(Предпосылки!$C$323="С инфляцией",Предпосылки!L311,Предпосылки!L311*M$3)</f>
        <v>0</v>
      </c>
      <c r="N18" s="10">
        <f>IF(Предпосылки!$C$323="С инфляцией",Предпосылки!M311,Предпосылки!M311*N$3)</f>
        <v>0</v>
      </c>
      <c r="O18" s="10">
        <f>IF(Предпосылки!$C$323="С инфляцией",Предпосылки!N311,Предпосылки!N311*O$3)</f>
        <v>0</v>
      </c>
      <c r="P18" s="10">
        <f>IF(Предпосылки!$C$323="С инфляцией",Предпосылки!O311,Предпосылки!O311*P$3)</f>
        <v>0</v>
      </c>
      <c r="Q18" s="10">
        <f>IF(Предпосылки!$C$323="С инфляцией",Предпосылки!P311,Предпосылки!P311*Q$3)</f>
        <v>0</v>
      </c>
      <c r="R18" s="270">
        <f t="shared" si="0"/>
        <v>0</v>
      </c>
      <c r="S18" s="33"/>
    </row>
    <row r="19" spans="1:20" x14ac:dyDescent="0.25">
      <c r="A19" s="198" t="s">
        <v>169</v>
      </c>
      <c r="B19" s="435">
        <f>Предпосылки!B312</f>
        <v>0</v>
      </c>
      <c r="C19" s="218"/>
      <c r="D19" s="218"/>
      <c r="E19" s="218"/>
      <c r="G19" s="210" t="s">
        <v>39</v>
      </c>
      <c r="H19" s="10">
        <f>IF(Предпосылки!$C$323="С инфляцией",Предпосылки!G312,Предпосылки!G312*H$3)</f>
        <v>0</v>
      </c>
      <c r="I19" s="10">
        <f>IF(Предпосылки!$C$323="С инфляцией",Предпосылки!H312,Предпосылки!H312*I$3)</f>
        <v>0</v>
      </c>
      <c r="J19" s="10">
        <f>IF(Предпосылки!$C$323="С инфляцией",Предпосылки!I312,Предпосылки!I312*J$3)</f>
        <v>0</v>
      </c>
      <c r="K19" s="10">
        <f>IF(Предпосылки!$C$323="С инфляцией",Предпосылки!J312,Предпосылки!J312*K$3)</f>
        <v>0</v>
      </c>
      <c r="L19" s="10">
        <f>IF(Предпосылки!$C$323="С инфляцией",Предпосылки!K312,Предпосылки!K312*L$3)</f>
        <v>0</v>
      </c>
      <c r="M19" s="10">
        <f>IF(Предпосылки!$C$323="С инфляцией",Предпосылки!L312,Предпосылки!L312*M$3)</f>
        <v>0</v>
      </c>
      <c r="N19" s="10">
        <f>IF(Предпосылки!$C$323="С инфляцией",Предпосылки!M312,Предпосылки!M312*N$3)</f>
        <v>0</v>
      </c>
      <c r="O19" s="10">
        <f>IF(Предпосылки!$C$323="С инфляцией",Предпосылки!N312,Предпосылки!N312*O$3)</f>
        <v>0</v>
      </c>
      <c r="P19" s="10">
        <f>IF(Предпосылки!$C$323="С инфляцией",Предпосылки!O312,Предпосылки!O312*P$3)</f>
        <v>0</v>
      </c>
      <c r="Q19" s="10">
        <f>IF(Предпосылки!$C$323="С инфляцией",Предпосылки!P312,Предпосылки!P312*Q$3)</f>
        <v>0</v>
      </c>
      <c r="R19" s="270">
        <f t="shared" si="0"/>
        <v>0</v>
      </c>
      <c r="S19" s="33"/>
    </row>
    <row r="20" spans="1:20" x14ac:dyDescent="0.25">
      <c r="A20" s="198" t="s">
        <v>170</v>
      </c>
      <c r="B20" s="435">
        <f>Предпосылки!B313</f>
        <v>0</v>
      </c>
      <c r="C20" s="218"/>
      <c r="D20" s="218"/>
      <c r="E20" s="218"/>
      <c r="G20" s="210" t="s">
        <v>39</v>
      </c>
      <c r="H20" s="10">
        <f>IF(Предпосылки!$C$323="С инфляцией",Предпосылки!G313,Предпосылки!G313*H$3)</f>
        <v>0</v>
      </c>
      <c r="I20" s="10">
        <f>IF(Предпосылки!$C$323="С инфляцией",Предпосылки!H313,Предпосылки!H313*I$3)</f>
        <v>0</v>
      </c>
      <c r="J20" s="10">
        <f>IF(Предпосылки!$C$323="С инфляцией",Предпосылки!I313,Предпосылки!I313*J$3)</f>
        <v>0</v>
      </c>
      <c r="K20" s="10">
        <f>IF(Предпосылки!$C$323="С инфляцией",Предпосылки!J313,Предпосылки!J313*K$3)</f>
        <v>0</v>
      </c>
      <c r="L20" s="10">
        <f>IF(Предпосылки!$C$323="С инфляцией",Предпосылки!K313,Предпосылки!K313*L$3)</f>
        <v>0</v>
      </c>
      <c r="M20" s="10">
        <f>IF(Предпосылки!$C$323="С инфляцией",Предпосылки!L313,Предпосылки!L313*M$3)</f>
        <v>0</v>
      </c>
      <c r="N20" s="10">
        <f>IF(Предпосылки!$C$323="С инфляцией",Предпосылки!M313,Предпосылки!M313*N$3)</f>
        <v>0</v>
      </c>
      <c r="O20" s="10">
        <f>IF(Предпосылки!$C$323="С инфляцией",Предпосылки!N313,Предпосылки!N313*O$3)</f>
        <v>0</v>
      </c>
      <c r="P20" s="10">
        <f>IF(Предпосылки!$C$323="С инфляцией",Предпосылки!O313,Предпосылки!O313*P$3)</f>
        <v>0</v>
      </c>
      <c r="Q20" s="10">
        <f>IF(Предпосылки!$C$323="С инфляцией",Предпосылки!P313,Предпосылки!P313*Q$3)</f>
        <v>0</v>
      </c>
      <c r="R20" s="270">
        <f t="shared" si="0"/>
        <v>0</v>
      </c>
      <c r="S20" s="33"/>
    </row>
    <row r="21" spans="1:20" x14ac:dyDescent="0.25">
      <c r="A21" s="198" t="s">
        <v>171</v>
      </c>
      <c r="B21" s="435">
        <f>Предпосылки!B314</f>
        <v>0</v>
      </c>
      <c r="C21" s="218"/>
      <c r="D21" s="218"/>
      <c r="E21" s="218"/>
      <c r="G21" s="210" t="s">
        <v>39</v>
      </c>
      <c r="H21" s="10">
        <f>IF(Предпосылки!$C$323="С инфляцией",Предпосылки!G314,Предпосылки!G314*H$3)</f>
        <v>0</v>
      </c>
      <c r="I21" s="10">
        <f>IF(Предпосылки!$C$323="С инфляцией",Предпосылки!H314,Предпосылки!H314*I$3)</f>
        <v>0</v>
      </c>
      <c r="J21" s="10">
        <f>IF(Предпосылки!$C$323="С инфляцией",Предпосылки!I314,Предпосылки!I314*J$3)</f>
        <v>0</v>
      </c>
      <c r="K21" s="10">
        <f>IF(Предпосылки!$C$323="С инфляцией",Предпосылки!J314,Предпосылки!J314*K$3)</f>
        <v>0</v>
      </c>
      <c r="L21" s="10">
        <f>IF(Предпосылки!$C$323="С инфляцией",Предпосылки!K314,Предпосылки!K314*L$3)</f>
        <v>0</v>
      </c>
      <c r="M21" s="10">
        <f>IF(Предпосылки!$C$323="С инфляцией",Предпосылки!L314,Предпосылки!L314*M$3)</f>
        <v>0</v>
      </c>
      <c r="N21" s="10">
        <f>IF(Предпосылки!$C$323="С инфляцией",Предпосылки!M314,Предпосылки!M314*N$3)</f>
        <v>0</v>
      </c>
      <c r="O21" s="10">
        <f>IF(Предпосылки!$C$323="С инфляцией",Предпосылки!N314,Предпосылки!N314*O$3)</f>
        <v>0</v>
      </c>
      <c r="P21" s="10">
        <f>IF(Предпосылки!$C$323="С инфляцией",Предпосылки!O314,Предпосылки!O314*P$3)</f>
        <v>0</v>
      </c>
      <c r="Q21" s="10">
        <f>IF(Предпосылки!$C$323="С инфляцией",Предпосылки!P314,Предпосылки!P314*Q$3)</f>
        <v>0</v>
      </c>
      <c r="R21" s="270">
        <f t="shared" si="0"/>
        <v>0</v>
      </c>
      <c r="S21" s="33"/>
    </row>
    <row r="22" spans="1:20" x14ac:dyDescent="0.25">
      <c r="A22" s="198" t="s">
        <v>172</v>
      </c>
      <c r="B22" s="435">
        <f>Предпосылки!B315</f>
        <v>0</v>
      </c>
      <c r="C22" s="218"/>
      <c r="D22" s="218"/>
      <c r="E22" s="218"/>
      <c r="G22" s="210" t="s">
        <v>39</v>
      </c>
      <c r="H22" s="10">
        <f>IF(Предпосылки!$C$323="С инфляцией",Предпосылки!G315,Предпосылки!G315*H$3)</f>
        <v>0</v>
      </c>
      <c r="I22" s="10">
        <f>IF(Предпосылки!$C$323="С инфляцией",Предпосылки!H315,Предпосылки!H315*I$3)</f>
        <v>0</v>
      </c>
      <c r="J22" s="10">
        <f>IF(Предпосылки!$C$323="С инфляцией",Предпосылки!I315,Предпосылки!I315*J$3)</f>
        <v>0</v>
      </c>
      <c r="K22" s="10">
        <f>IF(Предпосылки!$C$323="С инфляцией",Предпосылки!J315,Предпосылки!J315*K$3)</f>
        <v>0</v>
      </c>
      <c r="L22" s="10">
        <f>IF(Предпосылки!$C$323="С инфляцией",Предпосылки!K315,Предпосылки!K315*L$3)</f>
        <v>0</v>
      </c>
      <c r="M22" s="10">
        <f>IF(Предпосылки!$C$323="С инфляцией",Предпосылки!L315,Предпосылки!L315*M$3)</f>
        <v>0</v>
      </c>
      <c r="N22" s="10">
        <f>IF(Предпосылки!$C$323="С инфляцией",Предпосылки!M315,Предпосылки!M315*N$3)</f>
        <v>0</v>
      </c>
      <c r="O22" s="10">
        <f>IF(Предпосылки!$C$323="С инфляцией",Предпосылки!N315,Предпосылки!N315*O$3)</f>
        <v>0</v>
      </c>
      <c r="P22" s="10">
        <f>IF(Предпосылки!$C$323="С инфляцией",Предпосылки!O315,Предпосылки!O315*P$3)</f>
        <v>0</v>
      </c>
      <c r="Q22" s="10">
        <f>IF(Предпосылки!$C$323="С инфляцией",Предпосылки!P315,Предпосылки!P315*Q$3)</f>
        <v>0</v>
      </c>
      <c r="R22" s="270">
        <f t="shared" si="0"/>
        <v>0</v>
      </c>
      <c r="S22" s="33"/>
    </row>
    <row r="23" spans="1:20" x14ac:dyDescent="0.25">
      <c r="A23" s="198" t="s">
        <v>173</v>
      </c>
      <c r="B23" s="435">
        <f>Предпосылки!B316</f>
        <v>0</v>
      </c>
      <c r="C23" s="218"/>
      <c r="D23" s="218"/>
      <c r="E23" s="218"/>
      <c r="G23" s="210" t="s">
        <v>39</v>
      </c>
      <c r="H23" s="10">
        <f>IF(Предпосылки!$C$323="С инфляцией",Предпосылки!G316,Предпосылки!G316*H$3)</f>
        <v>0</v>
      </c>
      <c r="I23" s="10">
        <f>IF(Предпосылки!$C$323="С инфляцией",Предпосылки!H316,Предпосылки!H316*I$3)</f>
        <v>0</v>
      </c>
      <c r="J23" s="10">
        <f>IF(Предпосылки!$C$323="С инфляцией",Предпосылки!I316,Предпосылки!I316*J$3)</f>
        <v>0</v>
      </c>
      <c r="K23" s="10">
        <f>IF(Предпосылки!$C$323="С инфляцией",Предпосылки!J316,Предпосылки!J316*K$3)</f>
        <v>0</v>
      </c>
      <c r="L23" s="10">
        <f>IF(Предпосылки!$C$323="С инфляцией",Предпосылки!K316,Предпосылки!K316*L$3)</f>
        <v>0</v>
      </c>
      <c r="M23" s="10">
        <f>IF(Предпосылки!$C$323="С инфляцией",Предпосылки!L316,Предпосылки!L316*M$3)</f>
        <v>0</v>
      </c>
      <c r="N23" s="10">
        <f>IF(Предпосылки!$C$323="С инфляцией",Предпосылки!M316,Предпосылки!M316*N$3)</f>
        <v>0</v>
      </c>
      <c r="O23" s="10">
        <f>IF(Предпосылки!$C$323="С инфляцией",Предпосылки!N316,Предпосылки!N316*O$3)</f>
        <v>0</v>
      </c>
      <c r="P23" s="10">
        <f>IF(Предпосылки!$C$323="С инфляцией",Предпосылки!O316,Предпосылки!O316*P$3)</f>
        <v>0</v>
      </c>
      <c r="Q23" s="10">
        <f>IF(Предпосылки!$C$323="С инфляцией",Предпосылки!P316,Предпосылки!P316*Q$3)</f>
        <v>0</v>
      </c>
      <c r="R23" s="270">
        <f t="shared" si="0"/>
        <v>0</v>
      </c>
      <c r="S23" s="33"/>
    </row>
    <row r="24" spans="1:20" x14ac:dyDescent="0.25">
      <c r="A24" s="198" t="s">
        <v>174</v>
      </c>
      <c r="B24" s="435">
        <f>Предпосылки!B317</f>
        <v>0</v>
      </c>
      <c r="C24" s="218"/>
      <c r="D24" s="218"/>
      <c r="E24" s="218"/>
      <c r="G24" s="210" t="s">
        <v>39</v>
      </c>
      <c r="H24" s="10">
        <f>IF(Предпосылки!$C$323="С инфляцией",Предпосылки!G317,Предпосылки!G317*H$3)</f>
        <v>0</v>
      </c>
      <c r="I24" s="10">
        <f>IF(Предпосылки!$C$323="С инфляцией",Предпосылки!H317,Предпосылки!H317*I$3)</f>
        <v>0</v>
      </c>
      <c r="J24" s="10">
        <f>IF(Предпосылки!$C$323="С инфляцией",Предпосылки!I317,Предпосылки!I317*J$3)</f>
        <v>0</v>
      </c>
      <c r="K24" s="10">
        <f>IF(Предпосылки!$C$323="С инфляцией",Предпосылки!J317,Предпосылки!J317*K$3)</f>
        <v>0</v>
      </c>
      <c r="L24" s="10">
        <f>IF(Предпосылки!$C$323="С инфляцией",Предпосылки!K317,Предпосылки!K317*L$3)</f>
        <v>0</v>
      </c>
      <c r="M24" s="10">
        <f>IF(Предпосылки!$C$323="С инфляцией",Предпосылки!L317,Предпосылки!L317*M$3)</f>
        <v>0</v>
      </c>
      <c r="N24" s="10">
        <f>IF(Предпосылки!$C$323="С инфляцией",Предпосылки!M317,Предпосылки!M317*N$3)</f>
        <v>0</v>
      </c>
      <c r="O24" s="10">
        <f>IF(Предпосылки!$C$323="С инфляцией",Предпосылки!N317,Предпосылки!N317*O$3)</f>
        <v>0</v>
      </c>
      <c r="P24" s="10">
        <f>IF(Предпосылки!$C$323="С инфляцией",Предпосылки!O317,Предпосылки!O317*P$3)</f>
        <v>0</v>
      </c>
      <c r="Q24" s="10">
        <f>IF(Предпосылки!$C$323="С инфляцией",Предпосылки!P317,Предпосылки!P317*Q$3)</f>
        <v>0</v>
      </c>
      <c r="R24" s="270">
        <f t="shared" si="0"/>
        <v>0</v>
      </c>
      <c r="S24" s="33"/>
    </row>
    <row r="25" spans="1:20" x14ac:dyDescent="0.25">
      <c r="A25" s="198" t="s">
        <v>175</v>
      </c>
      <c r="B25" s="435">
        <f>Предпосылки!B318</f>
        <v>0</v>
      </c>
      <c r="C25" s="218"/>
      <c r="D25" s="218"/>
      <c r="E25" s="218"/>
      <c r="G25" s="210" t="s">
        <v>39</v>
      </c>
      <c r="H25" s="10">
        <f>IF(Предпосылки!$C$323="С инфляцией",Предпосылки!G318,Предпосылки!G318*H$3)</f>
        <v>0</v>
      </c>
      <c r="I25" s="10">
        <f>IF(Предпосылки!$C$323="С инфляцией",Предпосылки!H318,Предпосылки!H318*I$3)</f>
        <v>0</v>
      </c>
      <c r="J25" s="10">
        <f>IF(Предпосылки!$C$323="С инфляцией",Предпосылки!I318,Предпосылки!I318*J$3)</f>
        <v>0</v>
      </c>
      <c r="K25" s="10">
        <f>IF(Предпосылки!$C$323="С инфляцией",Предпосылки!J318,Предпосылки!J318*K$3)</f>
        <v>0</v>
      </c>
      <c r="L25" s="10">
        <f>IF(Предпосылки!$C$323="С инфляцией",Предпосылки!K318,Предпосылки!K318*L$3)</f>
        <v>0</v>
      </c>
      <c r="M25" s="10">
        <f>IF(Предпосылки!$C$323="С инфляцией",Предпосылки!L318,Предпосылки!L318*M$3)</f>
        <v>0</v>
      </c>
      <c r="N25" s="10">
        <f>IF(Предпосылки!$C$323="С инфляцией",Предпосылки!M318,Предпосылки!M318*N$3)</f>
        <v>0</v>
      </c>
      <c r="O25" s="10">
        <f>IF(Предпосылки!$C$323="С инфляцией",Предпосылки!N318,Предпосылки!N318*O$3)</f>
        <v>0</v>
      </c>
      <c r="P25" s="10">
        <f>IF(Предпосылки!$C$323="С инфляцией",Предпосылки!O318,Предпосылки!O318*P$3)</f>
        <v>0</v>
      </c>
      <c r="Q25" s="10">
        <f>IF(Предпосылки!$C$323="С инфляцией",Предпосылки!P318,Предпосылки!P318*Q$3)</f>
        <v>0</v>
      </c>
      <c r="R25" s="270">
        <f t="shared" si="0"/>
        <v>0</v>
      </c>
      <c r="S25" s="33"/>
    </row>
    <row r="26" spans="1:20" x14ac:dyDescent="0.25">
      <c r="A26" s="198" t="s">
        <v>176</v>
      </c>
      <c r="B26" s="223" t="str">
        <f>Предпосылки!B319</f>
        <v>Проценты на инвест.стадии (рассчитываются автоматически)</v>
      </c>
      <c r="C26" s="218"/>
      <c r="D26" s="218"/>
      <c r="E26" s="218"/>
      <c r="G26" s="210" t="s">
        <v>39</v>
      </c>
      <c r="H26" s="10">
        <f>Предпосылки!G319</f>
        <v>1500</v>
      </c>
      <c r="I26" s="10">
        <f>Предпосылки!H319</f>
        <v>0</v>
      </c>
      <c r="J26" s="10">
        <f>Предпосылки!I319</f>
        <v>0</v>
      </c>
      <c r="K26" s="10">
        <f>Предпосылки!J319</f>
        <v>0</v>
      </c>
      <c r="L26" s="10">
        <f>Предпосылки!K319</f>
        <v>0</v>
      </c>
      <c r="M26" s="10">
        <f>Предпосылки!L319</f>
        <v>0</v>
      </c>
      <c r="N26" s="10">
        <f>Предпосылки!M319</f>
        <v>0</v>
      </c>
      <c r="O26" s="10">
        <f>Предпосылки!N319</f>
        <v>0</v>
      </c>
      <c r="P26" s="10">
        <f>Предпосылки!O319</f>
        <v>0</v>
      </c>
      <c r="Q26" s="10">
        <f>Предпосылки!P319</f>
        <v>0</v>
      </c>
      <c r="R26" s="270">
        <f t="shared" si="0"/>
        <v>1500</v>
      </c>
      <c r="S26" s="33"/>
    </row>
    <row r="27" spans="1:20" s="453" customFormat="1" ht="30" x14ac:dyDescent="0.25">
      <c r="A27" s="462" t="s">
        <v>177</v>
      </c>
      <c r="B27" s="466" t="str">
        <f>Предпосылки!B320</f>
        <v>Операционные расходы на инвест.стадии до получения выручки (рассчитываются автоматически)</v>
      </c>
      <c r="C27" s="25"/>
      <c r="D27" s="25"/>
      <c r="E27" s="25"/>
      <c r="F27" s="31"/>
      <c r="G27" s="210" t="s">
        <v>39</v>
      </c>
      <c r="H27" s="321">
        <f>IF(Предпосылки!$C$323="С инфляцией",Предпосылки!G320,Предпосылки!G320*H$3)</f>
        <v>3375.9960193150691</v>
      </c>
      <c r="I27" s="321">
        <f>IF(Предпосылки!$C$323="С инфляцией",Предпосылки!H320,Предпосылки!H320*I$3)</f>
        <v>0</v>
      </c>
      <c r="J27" s="321">
        <f>IF(Предпосылки!$C$323="С инфляцией",Предпосылки!I320,Предпосылки!I320*J$3)</f>
        <v>0</v>
      </c>
      <c r="K27" s="321">
        <f>IF(Предпосылки!$C$323="С инфляцией",Предпосылки!J320,Предпосылки!J320*K$3)</f>
        <v>0</v>
      </c>
      <c r="L27" s="321">
        <f>IF(Предпосылки!$C$323="С инфляцией",Предпосылки!K320,Предпосылки!K320*L$3)</f>
        <v>0</v>
      </c>
      <c r="M27" s="321">
        <f>IF(Предпосылки!$C$323="С инфляцией",Предпосылки!L320,Предпосылки!L320*M$3)</f>
        <v>0</v>
      </c>
      <c r="N27" s="321">
        <f>IF(Предпосылки!$C$323="С инфляцией",Предпосылки!M320,Предпосылки!M320*N$3)</f>
        <v>0</v>
      </c>
      <c r="O27" s="321">
        <f>IF(Предпосылки!$C$323="С инфляцией",Предпосылки!N320,Предпосылки!N320*O$3)</f>
        <v>0</v>
      </c>
      <c r="P27" s="321">
        <f>IF(Предпосылки!$C$323="С инфляцией",Предпосылки!O320,Предпосылки!O320*P$3)</f>
        <v>0</v>
      </c>
      <c r="Q27" s="321">
        <f>IF(Предпосылки!$C$323="С инфляцией",Предпосылки!P320,Предпосылки!P320*Q$3)</f>
        <v>0</v>
      </c>
      <c r="R27" s="270">
        <f t="shared" si="0"/>
        <v>3375.9960193150691</v>
      </c>
      <c r="S27" s="468"/>
    </row>
    <row r="28" spans="1:20" x14ac:dyDescent="0.25">
      <c r="B28" s="12" t="s">
        <v>196</v>
      </c>
      <c r="C28" s="32"/>
      <c r="D28" s="32"/>
      <c r="E28" s="32"/>
      <c r="F28" s="21"/>
      <c r="G28" s="11" t="s">
        <v>39</v>
      </c>
      <c r="H28" s="13">
        <f>SUM(H8:H27)</f>
        <v>71060.996019315062</v>
      </c>
      <c r="I28" s="13">
        <f t="shared" ref="I28:Q28" si="1">SUM(I8:I27)</f>
        <v>127346.45</v>
      </c>
      <c r="J28" s="13">
        <f t="shared" si="1"/>
        <v>2431.1595000000002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  <c r="Q28" s="13">
        <f t="shared" si="1"/>
        <v>0</v>
      </c>
      <c r="R28" s="340">
        <f t="shared" si="0"/>
        <v>200838.60551931505</v>
      </c>
      <c r="S28" s="33"/>
      <c r="T28" s="33"/>
    </row>
    <row r="29" spans="1:20" x14ac:dyDescent="0.25">
      <c r="C29" s="25"/>
      <c r="D29" s="25"/>
      <c r="E29" s="25"/>
      <c r="G29" s="210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5"/>
    </row>
    <row r="30" spans="1:20" x14ac:dyDescent="0.25">
      <c r="B30" s="162" t="s">
        <v>226</v>
      </c>
      <c r="C30" s="162"/>
      <c r="D30" s="162"/>
      <c r="E30" s="162"/>
      <c r="F30" s="162"/>
      <c r="G30" s="470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</row>
    <row r="31" spans="1:20" x14ac:dyDescent="0.25">
      <c r="A31" s="198" t="s">
        <v>151</v>
      </c>
      <c r="B31" s="442" t="str">
        <f>B8</f>
        <v>Здания и сооружения</v>
      </c>
      <c r="C31" s="25"/>
      <c r="D31" s="25"/>
      <c r="E31" s="25"/>
      <c r="G31" s="210" t="s">
        <v>39</v>
      </c>
      <c r="H31" s="35">
        <f>IF(Предпосылки!$C301="Да",H8/(1+Налоги!E$6),H8)</f>
        <v>54250</v>
      </c>
      <c r="I31" s="35">
        <f>IF(Предпосылки!$C301="Да",I8/(1+Налоги!F$6),I8)</f>
        <v>34730.85</v>
      </c>
      <c r="J31" s="35">
        <f>IF(Предпосылки!$C301="Да",J8/(1+Налоги!G$6),J8)</f>
        <v>0</v>
      </c>
      <c r="K31" s="35">
        <f>IF(Предпосылки!$C301="Да",K8/(1+Налоги!H$6),K8)</f>
        <v>0</v>
      </c>
      <c r="L31" s="35">
        <f>IF(Предпосылки!$C301="Да",L8/(1+Налоги!I$6),L8)</f>
        <v>0</v>
      </c>
      <c r="M31" s="35">
        <f>IF(Предпосылки!$C301="Да",M8/(1+Налоги!J$6),M8)</f>
        <v>0</v>
      </c>
      <c r="N31" s="35">
        <f>IF(Предпосылки!$C301="Да",N8/(1+Налоги!K$6),N8)</f>
        <v>0</v>
      </c>
      <c r="O31" s="35">
        <f>IF(Предпосылки!$C301="Да",O8/(1+Налоги!L$6),O8)</f>
        <v>0</v>
      </c>
      <c r="P31" s="35">
        <f>IF(Предпосылки!$C301="Да",P8/(1+Налоги!M$6),P8)</f>
        <v>0</v>
      </c>
      <c r="Q31" s="35">
        <f>IF(Предпосылки!$C301="Да",Q8/(1+Налоги!N$6),Q8)</f>
        <v>0</v>
      </c>
      <c r="R31" s="270">
        <f t="shared" ref="R31:R51" si="2">SUM(H31:Q31)</f>
        <v>88980.85</v>
      </c>
    </row>
    <row r="32" spans="1:20" x14ac:dyDescent="0.25">
      <c r="A32" s="198" t="s">
        <v>152</v>
      </c>
      <c r="B32" s="442" t="str">
        <f t="shared" ref="B32:B50" si="3">B9</f>
        <v>Инженерные сети</v>
      </c>
      <c r="C32" s="25"/>
      <c r="D32" s="25"/>
      <c r="E32" s="25"/>
      <c r="G32" s="210" t="s">
        <v>39</v>
      </c>
      <c r="H32" s="35">
        <f>IF(Предпосылки!$C302="Да",H9/(1+Налоги!E$6),H9)</f>
        <v>3255</v>
      </c>
      <c r="I32" s="35">
        <f>IF(Предпосылки!$C302="Да",I9/(1+Налоги!F$6),I9)</f>
        <v>2315.39</v>
      </c>
      <c r="J32" s="35">
        <f>IF(Предпосылки!$C302="Да",J9/(1+Налоги!G$6),J9)</f>
        <v>0</v>
      </c>
      <c r="K32" s="35">
        <f>IF(Предпосылки!$C302="Да",K9/(1+Налоги!H$6),K9)</f>
        <v>0</v>
      </c>
      <c r="L32" s="35">
        <f>IF(Предпосылки!$C302="Да",L9/(1+Налоги!I$6),L9)</f>
        <v>0</v>
      </c>
      <c r="M32" s="35">
        <f>IF(Предпосылки!$C302="Да",M9/(1+Налоги!J$6),M9)</f>
        <v>0</v>
      </c>
      <c r="N32" s="35">
        <f>IF(Предпосылки!$C302="Да",N9/(1+Налоги!K$6),N9)</f>
        <v>0</v>
      </c>
      <c r="O32" s="35">
        <f>IF(Предпосылки!$C302="Да",O9/(1+Налоги!L$6),O9)</f>
        <v>0</v>
      </c>
      <c r="P32" s="35">
        <f>IF(Предпосылки!$C302="Да",P9/(1+Налоги!M$6),P9)</f>
        <v>0</v>
      </c>
      <c r="Q32" s="35">
        <f>IF(Предпосылки!$C302="Да",Q9/(1+Налоги!N$6),Q9)</f>
        <v>0</v>
      </c>
      <c r="R32" s="270">
        <f t="shared" si="2"/>
        <v>5570.3899999999994</v>
      </c>
    </row>
    <row r="33" spans="1:18" x14ac:dyDescent="0.25">
      <c r="A33" s="198" t="s">
        <v>153</v>
      </c>
      <c r="B33" s="442" t="str">
        <f t="shared" si="3"/>
        <v>Оборудование</v>
      </c>
      <c r="C33" s="25"/>
      <c r="D33" s="25"/>
      <c r="E33" s="25"/>
      <c r="G33" s="210" t="s">
        <v>39</v>
      </c>
      <c r="H33" s="35">
        <f>IF(Предпосылки!$C303="Да",H10/(1+Налоги!E$6),H10)</f>
        <v>0</v>
      </c>
      <c r="I33" s="35">
        <f>IF(Предпосылки!$C303="Да",I10/(1+Налоги!F$6),I10)</f>
        <v>34730.85</v>
      </c>
      <c r="J33" s="35">
        <f>IF(Предпосылки!$C303="Да",J10/(1+Налоги!G$6),J10)</f>
        <v>2431.1595000000002</v>
      </c>
      <c r="K33" s="35">
        <f>IF(Предпосылки!$C303="Да",K10/(1+Налоги!H$6),K10)</f>
        <v>0</v>
      </c>
      <c r="L33" s="35">
        <f>IF(Предпосылки!$C303="Да",L10/(1+Налоги!I$6),L10)</f>
        <v>0</v>
      </c>
      <c r="M33" s="35">
        <f>IF(Предпосылки!$C303="Да",M10/(1+Налоги!J$6),M10)</f>
        <v>0</v>
      </c>
      <c r="N33" s="35">
        <f>IF(Предпосылки!$C303="Да",N10/(1+Налоги!K$6),N10)</f>
        <v>0</v>
      </c>
      <c r="O33" s="35">
        <f>IF(Предпосылки!$C303="Да",O10/(1+Налоги!L$6),O10)</f>
        <v>0</v>
      </c>
      <c r="P33" s="35">
        <f>IF(Предпосылки!$C303="Да",P10/(1+Налоги!M$6),P10)</f>
        <v>0</v>
      </c>
      <c r="Q33" s="35">
        <f>IF(Предпосылки!$C303="Да",Q10/(1+Налоги!N$6),Q10)</f>
        <v>0</v>
      </c>
      <c r="R33" s="270">
        <f t="shared" si="2"/>
        <v>37162.0095</v>
      </c>
    </row>
    <row r="34" spans="1:18" x14ac:dyDescent="0.25">
      <c r="A34" s="198" t="s">
        <v>154</v>
      </c>
      <c r="B34" s="442" t="str">
        <f t="shared" si="3"/>
        <v>Транспорт</v>
      </c>
      <c r="C34" s="25"/>
      <c r="D34" s="25"/>
      <c r="E34" s="25"/>
      <c r="G34" s="210" t="s">
        <v>39</v>
      </c>
      <c r="H34" s="35">
        <f>IF(Предпосылки!$C304="Да",H11/(1+Налоги!E$6),H11)</f>
        <v>0</v>
      </c>
      <c r="I34" s="35">
        <f>IF(Предпосылки!$C304="Да",I11/(1+Налоги!F$6),I11)</f>
        <v>28942.374999999996</v>
      </c>
      <c r="J34" s="35">
        <f>IF(Предпосылки!$C304="Да",J11/(1+Налоги!G$6),J11)</f>
        <v>0</v>
      </c>
      <c r="K34" s="35">
        <f>IF(Предпосылки!$C304="Да",K11/(1+Налоги!H$6),K11)</f>
        <v>0</v>
      </c>
      <c r="L34" s="35">
        <f>IF(Предпосылки!$C304="Да",L11/(1+Налоги!I$6),L11)</f>
        <v>0</v>
      </c>
      <c r="M34" s="35">
        <f>IF(Предпосылки!$C304="Да",M11/(1+Налоги!J$6),M11)</f>
        <v>0</v>
      </c>
      <c r="N34" s="35">
        <f>IF(Предпосылки!$C304="Да",N11/(1+Налоги!K$6),N11)</f>
        <v>0</v>
      </c>
      <c r="O34" s="35">
        <f>IF(Предпосылки!$C304="Да",O11/(1+Налоги!L$6),O11)</f>
        <v>0</v>
      </c>
      <c r="P34" s="35">
        <f>IF(Предпосылки!$C304="Да",P11/(1+Налоги!M$6),P11)</f>
        <v>0</v>
      </c>
      <c r="Q34" s="35">
        <f>IF(Предпосылки!$C304="Да",Q11/(1+Налоги!N$6),Q11)</f>
        <v>0</v>
      </c>
      <c r="R34" s="270">
        <f t="shared" si="2"/>
        <v>28942.374999999996</v>
      </c>
    </row>
    <row r="35" spans="1:18" x14ac:dyDescent="0.25">
      <c r="A35" s="198" t="s">
        <v>155</v>
      </c>
      <c r="B35" s="442" t="str">
        <f t="shared" si="3"/>
        <v>Дороги</v>
      </c>
      <c r="C35" s="25"/>
      <c r="D35" s="25"/>
      <c r="E35" s="25"/>
      <c r="G35" s="210" t="s">
        <v>39</v>
      </c>
      <c r="H35" s="35">
        <f>IF(Предпосылки!$C305="Да",H12/(1+Налоги!E$6),H12)</f>
        <v>5425</v>
      </c>
      <c r="I35" s="35">
        <f>IF(Предпосылки!$C305="Да",I12/(1+Налоги!F$6),I12)</f>
        <v>23153.899999999998</v>
      </c>
      <c r="J35" s="35">
        <f>IF(Предпосылки!$C305="Да",J12/(1+Налоги!G$6),J12)</f>
        <v>0</v>
      </c>
      <c r="K35" s="35">
        <f>IF(Предпосылки!$C305="Да",K12/(1+Налоги!H$6),K12)</f>
        <v>0</v>
      </c>
      <c r="L35" s="35">
        <f>IF(Предпосылки!$C305="Да",L12/(1+Налоги!I$6),L12)</f>
        <v>0</v>
      </c>
      <c r="M35" s="35">
        <f>IF(Предпосылки!$C305="Да",M12/(1+Налоги!J$6),M12)</f>
        <v>0</v>
      </c>
      <c r="N35" s="35">
        <f>IF(Предпосылки!$C305="Да",N12/(1+Налоги!K$6),N12)</f>
        <v>0</v>
      </c>
      <c r="O35" s="35">
        <f>IF(Предпосылки!$C305="Да",O12/(1+Налоги!L$6),O12)</f>
        <v>0</v>
      </c>
      <c r="P35" s="35">
        <f>IF(Предпосылки!$C305="Да",P12/(1+Налоги!M$6),P12)</f>
        <v>0</v>
      </c>
      <c r="Q35" s="35">
        <f>IF(Предпосылки!$C305="Да",Q12/(1+Налоги!N$6),Q12)</f>
        <v>0</v>
      </c>
      <c r="R35" s="270">
        <f t="shared" si="2"/>
        <v>28578.899999999998</v>
      </c>
    </row>
    <row r="36" spans="1:18" x14ac:dyDescent="0.25">
      <c r="A36" s="198" t="s">
        <v>156</v>
      </c>
      <c r="B36" s="442" t="str">
        <f t="shared" si="3"/>
        <v>HMA</v>
      </c>
      <c r="C36" s="25"/>
      <c r="D36" s="25"/>
      <c r="E36" s="25"/>
      <c r="G36" s="210" t="s">
        <v>39</v>
      </c>
      <c r="H36" s="35">
        <f>IF(Предпосылки!$C306="Да",H13/(1+Налоги!E$6),H13)</f>
        <v>0</v>
      </c>
      <c r="I36" s="35">
        <f>IF(Предпосылки!$C306="Да",I13/(1+Налоги!F$6),I13)</f>
        <v>1157.6949999999999</v>
      </c>
      <c r="J36" s="35">
        <f>IF(Предпосылки!$C306="Да",J13/(1+Налоги!G$6),J13)</f>
        <v>0</v>
      </c>
      <c r="K36" s="35">
        <f>IF(Предпосылки!$C306="Да",K13/(1+Налоги!H$6),K13)</f>
        <v>0</v>
      </c>
      <c r="L36" s="35">
        <f>IF(Предпосылки!$C306="Да",L13/(1+Налоги!I$6),L13)</f>
        <v>0</v>
      </c>
      <c r="M36" s="35">
        <f>IF(Предпосылки!$C306="Да",M13/(1+Налоги!J$6),M13)</f>
        <v>0</v>
      </c>
      <c r="N36" s="35">
        <f>IF(Предпосылки!$C306="Да",N13/(1+Налоги!K$6),N13)</f>
        <v>0</v>
      </c>
      <c r="O36" s="35">
        <f>IF(Предпосылки!$C306="Да",O13/(1+Налоги!L$6),O13)</f>
        <v>0</v>
      </c>
      <c r="P36" s="35">
        <f>IF(Предпосылки!$C306="Да",P13/(1+Налоги!M$6),P13)</f>
        <v>0</v>
      </c>
      <c r="Q36" s="35">
        <f>IF(Предпосылки!$C306="Да",Q13/(1+Налоги!N$6),Q13)</f>
        <v>0</v>
      </c>
      <c r="R36" s="270">
        <f t="shared" si="2"/>
        <v>1157.6949999999999</v>
      </c>
    </row>
    <row r="37" spans="1:18" x14ac:dyDescent="0.25">
      <c r="A37" s="198" t="s">
        <v>157</v>
      </c>
      <c r="B37" s="442" t="str">
        <f t="shared" si="3"/>
        <v>Подготовительные расходы (ПИР, СМР)</v>
      </c>
      <c r="C37" s="25"/>
      <c r="D37" s="25"/>
      <c r="E37" s="25"/>
      <c r="G37" s="210" t="s">
        <v>39</v>
      </c>
      <c r="H37" s="35">
        <f>IF(Предпосылки!$C307="Да",H14/(1+Налоги!E$6),H14)</f>
        <v>3255</v>
      </c>
      <c r="I37" s="35">
        <f>IF(Предпосылки!$C307="Да",I14/(1+Налоги!F$6),I14)</f>
        <v>2315.39</v>
      </c>
      <c r="J37" s="35">
        <f>IF(Предпосылки!$C307="Да",J14/(1+Налоги!G$6),J14)</f>
        <v>0</v>
      </c>
      <c r="K37" s="35">
        <f>IF(Предпосылки!$C307="Да",K14/(1+Налоги!H$6),K14)</f>
        <v>0</v>
      </c>
      <c r="L37" s="35">
        <f>IF(Предпосылки!$C307="Да",L14/(1+Налоги!I$6),L14)</f>
        <v>0</v>
      </c>
      <c r="M37" s="35">
        <f>IF(Предпосылки!$C307="Да",M14/(1+Налоги!J$6),M14)</f>
        <v>0</v>
      </c>
      <c r="N37" s="35">
        <f>IF(Предпосылки!$C307="Да",N14/(1+Налоги!K$6),N14)</f>
        <v>0</v>
      </c>
      <c r="O37" s="35">
        <f>IF(Предпосылки!$C307="Да",O14/(1+Налоги!L$6),O14)</f>
        <v>0</v>
      </c>
      <c r="P37" s="35">
        <f>IF(Предпосылки!$C307="Да",P14/(1+Налоги!M$6),P14)</f>
        <v>0</v>
      </c>
      <c r="Q37" s="35">
        <f>IF(Предпосылки!$C307="Да",Q14/(1+Налоги!N$6),Q14)</f>
        <v>0</v>
      </c>
      <c r="R37" s="270">
        <f t="shared" si="2"/>
        <v>5570.3899999999994</v>
      </c>
    </row>
    <row r="38" spans="1:18" x14ac:dyDescent="0.25">
      <c r="A38" s="198" t="s">
        <v>158</v>
      </c>
      <c r="B38" s="442">
        <f t="shared" si="3"/>
        <v>0</v>
      </c>
      <c r="C38" s="25"/>
      <c r="D38" s="25"/>
      <c r="E38" s="25"/>
      <c r="G38" s="210" t="s">
        <v>39</v>
      </c>
      <c r="H38" s="35">
        <f>IF(Предпосылки!$C308="Да",H15/(1+Налоги!E$6),H15)</f>
        <v>0</v>
      </c>
      <c r="I38" s="35">
        <f>IF(Предпосылки!$C308="Да",I15/(1+Налоги!F$6),I15)</f>
        <v>0</v>
      </c>
      <c r="J38" s="35">
        <f>IF(Предпосылки!$C308="Да",J15/(1+Налоги!G$6),J15)</f>
        <v>0</v>
      </c>
      <c r="K38" s="35">
        <f>IF(Предпосылки!$C308="Да",K15/(1+Налоги!H$6),K15)</f>
        <v>0</v>
      </c>
      <c r="L38" s="35">
        <f>IF(Предпосылки!$C308="Да",L15/(1+Налоги!I$6),L15)</f>
        <v>0</v>
      </c>
      <c r="M38" s="35">
        <f>IF(Предпосылки!$C308="Да",M15/(1+Налоги!J$6),M15)</f>
        <v>0</v>
      </c>
      <c r="N38" s="35">
        <f>IF(Предпосылки!$C308="Да",N15/(1+Налоги!K$6),N15)</f>
        <v>0</v>
      </c>
      <c r="O38" s="35">
        <f>IF(Предпосылки!$C308="Да",O15/(1+Налоги!L$6),O15)</f>
        <v>0</v>
      </c>
      <c r="P38" s="35">
        <f>IF(Предпосылки!$C308="Да",P15/(1+Налоги!M$6),P15)</f>
        <v>0</v>
      </c>
      <c r="Q38" s="35">
        <f>IF(Предпосылки!$C308="Да",Q15/(1+Налоги!N$6),Q15)</f>
        <v>0</v>
      </c>
      <c r="R38" s="270">
        <f t="shared" si="2"/>
        <v>0</v>
      </c>
    </row>
    <row r="39" spans="1:18" x14ac:dyDescent="0.25">
      <c r="A39" s="198" t="s">
        <v>159</v>
      </c>
      <c r="B39" s="442">
        <f t="shared" si="3"/>
        <v>0</v>
      </c>
      <c r="C39" s="25"/>
      <c r="D39" s="25"/>
      <c r="E39" s="25"/>
      <c r="G39" s="210" t="s">
        <v>39</v>
      </c>
      <c r="H39" s="35">
        <f>IF(Предпосылки!$C309="Да",H16/(1+Налоги!E$6),H16)</f>
        <v>0</v>
      </c>
      <c r="I39" s="35">
        <f>IF(Предпосылки!$C309="Да",I16/(1+Налоги!F$6),I16)</f>
        <v>0</v>
      </c>
      <c r="J39" s="35">
        <f>IF(Предпосылки!$C309="Да",J16/(1+Налоги!G$6),J16)</f>
        <v>0</v>
      </c>
      <c r="K39" s="35">
        <f>IF(Предпосылки!$C309="Да",K16/(1+Налоги!H$6),K16)</f>
        <v>0</v>
      </c>
      <c r="L39" s="35">
        <f>IF(Предпосылки!$C309="Да",L16/(1+Налоги!I$6),L16)</f>
        <v>0</v>
      </c>
      <c r="M39" s="35">
        <f>IF(Предпосылки!$C309="Да",M16/(1+Налоги!J$6),M16)</f>
        <v>0</v>
      </c>
      <c r="N39" s="35">
        <f>IF(Предпосылки!$C309="Да",N16/(1+Налоги!K$6),N16)</f>
        <v>0</v>
      </c>
      <c r="O39" s="35">
        <f>IF(Предпосылки!$C309="Да",O16/(1+Налоги!L$6),O16)</f>
        <v>0</v>
      </c>
      <c r="P39" s="35">
        <f>IF(Предпосылки!$C309="Да",P16/(1+Налоги!M$6),P16)</f>
        <v>0</v>
      </c>
      <c r="Q39" s="35">
        <f>IF(Предпосылки!$C309="Да",Q16/(1+Налоги!N$6),Q16)</f>
        <v>0</v>
      </c>
      <c r="R39" s="270">
        <f t="shared" si="2"/>
        <v>0</v>
      </c>
    </row>
    <row r="40" spans="1:18" x14ac:dyDescent="0.25">
      <c r="A40" s="198" t="s">
        <v>160</v>
      </c>
      <c r="B40" s="442">
        <f t="shared" si="3"/>
        <v>0</v>
      </c>
      <c r="C40" s="25"/>
      <c r="D40" s="25"/>
      <c r="E40" s="25"/>
      <c r="G40" s="210" t="s">
        <v>39</v>
      </c>
      <c r="H40" s="35">
        <f>IF(Предпосылки!$C310="Да",H17/(1+Налоги!E$6),H17)</f>
        <v>0</v>
      </c>
      <c r="I40" s="35">
        <f>IF(Предпосылки!$C310="Да",I17/(1+Налоги!F$6),I17)</f>
        <v>0</v>
      </c>
      <c r="J40" s="35">
        <f>IF(Предпосылки!$C310="Да",J17/(1+Налоги!G$6),J17)</f>
        <v>0</v>
      </c>
      <c r="K40" s="35">
        <f>IF(Предпосылки!$C310="Да",K17/(1+Налоги!H$6),K17)</f>
        <v>0</v>
      </c>
      <c r="L40" s="35">
        <f>IF(Предпосылки!$C310="Да",L17/(1+Налоги!I$6),L17)</f>
        <v>0</v>
      </c>
      <c r="M40" s="35">
        <f>IF(Предпосылки!$C310="Да",M17/(1+Налоги!J$6),M17)</f>
        <v>0</v>
      </c>
      <c r="N40" s="35">
        <f>IF(Предпосылки!$C310="Да",N17/(1+Налоги!K$6),N17)</f>
        <v>0</v>
      </c>
      <c r="O40" s="35">
        <f>IF(Предпосылки!$C310="Да",O17/(1+Налоги!L$6),O17)</f>
        <v>0</v>
      </c>
      <c r="P40" s="35">
        <f>IF(Предпосылки!$C310="Да",P17/(1+Налоги!M$6),P17)</f>
        <v>0</v>
      </c>
      <c r="Q40" s="35">
        <f>IF(Предпосылки!$C310="Да",Q17/(1+Налоги!N$6),Q17)</f>
        <v>0</v>
      </c>
      <c r="R40" s="270">
        <f t="shared" si="2"/>
        <v>0</v>
      </c>
    </row>
    <row r="41" spans="1:18" x14ac:dyDescent="0.25">
      <c r="A41" s="198" t="s">
        <v>168</v>
      </c>
      <c r="B41" s="442">
        <f t="shared" si="3"/>
        <v>0</v>
      </c>
      <c r="C41" s="25"/>
      <c r="D41" s="25"/>
      <c r="E41" s="25"/>
      <c r="G41" s="210" t="s">
        <v>39</v>
      </c>
      <c r="H41" s="35">
        <f>IF(Предпосылки!$C311="Да",H18/(1+Налоги!E$6),H18)</f>
        <v>0</v>
      </c>
      <c r="I41" s="35">
        <f>IF(Предпосылки!$C311="Да",I18/(1+Налоги!F$6),I18)</f>
        <v>0</v>
      </c>
      <c r="J41" s="35">
        <f>IF(Предпосылки!$C311="Да",J18/(1+Налоги!G$6),J18)</f>
        <v>0</v>
      </c>
      <c r="K41" s="35">
        <f>IF(Предпосылки!$C311="Да",K18/(1+Налоги!H$6),K18)</f>
        <v>0</v>
      </c>
      <c r="L41" s="35">
        <f>IF(Предпосылки!$C311="Да",L18/(1+Налоги!I$6),L18)</f>
        <v>0</v>
      </c>
      <c r="M41" s="35">
        <f>IF(Предпосылки!$C311="Да",M18/(1+Налоги!J$6),M18)</f>
        <v>0</v>
      </c>
      <c r="N41" s="35">
        <f>IF(Предпосылки!$C311="Да",N18/(1+Налоги!K$6),N18)</f>
        <v>0</v>
      </c>
      <c r="O41" s="35">
        <f>IF(Предпосылки!$C311="Да",O18/(1+Налоги!L$6),O18)</f>
        <v>0</v>
      </c>
      <c r="P41" s="35">
        <f>IF(Предпосылки!$C311="Да",P18/(1+Налоги!M$6),P18)</f>
        <v>0</v>
      </c>
      <c r="Q41" s="35">
        <f>IF(Предпосылки!$C311="Да",Q18/(1+Налоги!N$6),Q18)</f>
        <v>0</v>
      </c>
      <c r="R41" s="270">
        <f t="shared" si="2"/>
        <v>0</v>
      </c>
    </row>
    <row r="42" spans="1:18" x14ac:dyDescent="0.25">
      <c r="A42" s="198" t="s">
        <v>169</v>
      </c>
      <c r="B42" s="442">
        <f t="shared" si="3"/>
        <v>0</v>
      </c>
      <c r="C42" s="25"/>
      <c r="D42" s="25"/>
      <c r="E42" s="25"/>
      <c r="G42" s="210" t="s">
        <v>39</v>
      </c>
      <c r="H42" s="35">
        <f>IF(Предпосылки!$C312="Да",H19/(1+Налоги!E$6),H19)</f>
        <v>0</v>
      </c>
      <c r="I42" s="35">
        <f>IF(Предпосылки!$C312="Да",I19/(1+Налоги!F$6),I19)</f>
        <v>0</v>
      </c>
      <c r="J42" s="35">
        <f>IF(Предпосылки!$C312="Да",J19/(1+Налоги!G$6),J19)</f>
        <v>0</v>
      </c>
      <c r="K42" s="35">
        <f>IF(Предпосылки!$C312="Да",K19/(1+Налоги!H$6),K19)</f>
        <v>0</v>
      </c>
      <c r="L42" s="35">
        <f>IF(Предпосылки!$C312="Да",L19/(1+Налоги!I$6),L19)</f>
        <v>0</v>
      </c>
      <c r="M42" s="35">
        <f>IF(Предпосылки!$C312="Да",M19/(1+Налоги!J$6),M19)</f>
        <v>0</v>
      </c>
      <c r="N42" s="35">
        <f>IF(Предпосылки!$C312="Да",N19/(1+Налоги!K$6),N19)</f>
        <v>0</v>
      </c>
      <c r="O42" s="35">
        <f>IF(Предпосылки!$C312="Да",O19/(1+Налоги!L$6),O19)</f>
        <v>0</v>
      </c>
      <c r="P42" s="35">
        <f>IF(Предпосылки!$C312="Да",P19/(1+Налоги!M$6),P19)</f>
        <v>0</v>
      </c>
      <c r="Q42" s="35">
        <f>IF(Предпосылки!$C312="Да",Q19/(1+Налоги!N$6),Q19)</f>
        <v>0</v>
      </c>
      <c r="R42" s="270">
        <f t="shared" si="2"/>
        <v>0</v>
      </c>
    </row>
    <row r="43" spans="1:18" x14ac:dyDescent="0.25">
      <c r="A43" s="198" t="s">
        <v>170</v>
      </c>
      <c r="B43" s="442">
        <f t="shared" si="3"/>
        <v>0</v>
      </c>
      <c r="C43" s="25"/>
      <c r="D43" s="25"/>
      <c r="E43" s="25"/>
      <c r="G43" s="210" t="s">
        <v>39</v>
      </c>
      <c r="H43" s="35">
        <f>IF(Предпосылки!$C313="Да",H20/(1+Налоги!E$6),H20)</f>
        <v>0</v>
      </c>
      <c r="I43" s="35">
        <f>IF(Предпосылки!$C313="Да",I20/(1+Налоги!F$6),I20)</f>
        <v>0</v>
      </c>
      <c r="J43" s="35">
        <f>IF(Предпосылки!$C313="Да",J20/(1+Налоги!G$6),J20)</f>
        <v>0</v>
      </c>
      <c r="K43" s="35">
        <f>IF(Предпосылки!$C313="Да",K20/(1+Налоги!H$6),K20)</f>
        <v>0</v>
      </c>
      <c r="L43" s="35">
        <f>IF(Предпосылки!$C313="Да",L20/(1+Налоги!I$6),L20)</f>
        <v>0</v>
      </c>
      <c r="M43" s="35">
        <f>IF(Предпосылки!$C313="Да",M20/(1+Налоги!J$6),M20)</f>
        <v>0</v>
      </c>
      <c r="N43" s="35">
        <f>IF(Предпосылки!$C313="Да",N20/(1+Налоги!K$6),N20)</f>
        <v>0</v>
      </c>
      <c r="O43" s="35">
        <f>IF(Предпосылки!$C313="Да",O20/(1+Налоги!L$6),O20)</f>
        <v>0</v>
      </c>
      <c r="P43" s="35">
        <f>IF(Предпосылки!$C313="Да",P20/(1+Налоги!M$6),P20)</f>
        <v>0</v>
      </c>
      <c r="Q43" s="35">
        <f>IF(Предпосылки!$C313="Да",Q20/(1+Налоги!N$6),Q20)</f>
        <v>0</v>
      </c>
      <c r="R43" s="270">
        <f t="shared" si="2"/>
        <v>0</v>
      </c>
    </row>
    <row r="44" spans="1:18" x14ac:dyDescent="0.25">
      <c r="A44" s="198" t="s">
        <v>171</v>
      </c>
      <c r="B44" s="442">
        <f t="shared" si="3"/>
        <v>0</v>
      </c>
      <c r="C44" s="25"/>
      <c r="D44" s="25"/>
      <c r="E44" s="25"/>
      <c r="G44" s="210" t="s">
        <v>39</v>
      </c>
      <c r="H44" s="35">
        <f>IF(Предпосылки!$C314="Да",H21/(1+Налоги!E$6),H21)</f>
        <v>0</v>
      </c>
      <c r="I44" s="35">
        <f>IF(Предпосылки!$C314="Да",I21/(1+Налоги!F$6),I21)</f>
        <v>0</v>
      </c>
      <c r="J44" s="35">
        <f>IF(Предпосылки!$C314="Да",J21/(1+Налоги!G$6),J21)</f>
        <v>0</v>
      </c>
      <c r="K44" s="35">
        <f>IF(Предпосылки!$C314="Да",K21/(1+Налоги!H$6),K21)</f>
        <v>0</v>
      </c>
      <c r="L44" s="35">
        <f>IF(Предпосылки!$C314="Да",L21/(1+Налоги!I$6),L21)</f>
        <v>0</v>
      </c>
      <c r="M44" s="35">
        <f>IF(Предпосылки!$C314="Да",M21/(1+Налоги!J$6),M21)</f>
        <v>0</v>
      </c>
      <c r="N44" s="35">
        <f>IF(Предпосылки!$C314="Да",N21/(1+Налоги!K$6),N21)</f>
        <v>0</v>
      </c>
      <c r="O44" s="35">
        <f>IF(Предпосылки!$C314="Да",O21/(1+Налоги!L$6),O21)</f>
        <v>0</v>
      </c>
      <c r="P44" s="35">
        <f>IF(Предпосылки!$C314="Да",P21/(1+Налоги!M$6),P21)</f>
        <v>0</v>
      </c>
      <c r="Q44" s="35">
        <f>IF(Предпосылки!$C314="Да",Q21/(1+Налоги!N$6),Q21)</f>
        <v>0</v>
      </c>
      <c r="R44" s="270">
        <f t="shared" si="2"/>
        <v>0</v>
      </c>
    </row>
    <row r="45" spans="1:18" x14ac:dyDescent="0.25">
      <c r="A45" s="198" t="s">
        <v>172</v>
      </c>
      <c r="B45" s="442">
        <f t="shared" si="3"/>
        <v>0</v>
      </c>
      <c r="C45" s="25"/>
      <c r="D45" s="25"/>
      <c r="E45" s="25"/>
      <c r="G45" s="210" t="s">
        <v>39</v>
      </c>
      <c r="H45" s="35">
        <f>IF(Предпосылки!$C315="Да",H22/(1+Налоги!E$6),H22)</f>
        <v>0</v>
      </c>
      <c r="I45" s="35">
        <f>IF(Предпосылки!$C315="Да",I22/(1+Налоги!F$6),I22)</f>
        <v>0</v>
      </c>
      <c r="J45" s="35">
        <f>IF(Предпосылки!$C315="Да",J22/(1+Налоги!G$6),J22)</f>
        <v>0</v>
      </c>
      <c r="K45" s="35">
        <f>IF(Предпосылки!$C315="Да",K22/(1+Налоги!H$6),K22)</f>
        <v>0</v>
      </c>
      <c r="L45" s="35">
        <f>IF(Предпосылки!$C315="Да",L22/(1+Налоги!I$6),L22)</f>
        <v>0</v>
      </c>
      <c r="M45" s="35">
        <f>IF(Предпосылки!$C315="Да",M22/(1+Налоги!J$6),M22)</f>
        <v>0</v>
      </c>
      <c r="N45" s="35">
        <f>IF(Предпосылки!$C315="Да",N22/(1+Налоги!K$6),N22)</f>
        <v>0</v>
      </c>
      <c r="O45" s="35">
        <f>IF(Предпосылки!$C315="Да",O22/(1+Налоги!L$6),O22)</f>
        <v>0</v>
      </c>
      <c r="P45" s="35">
        <f>IF(Предпосылки!$C315="Да",P22/(1+Налоги!M$6),P22)</f>
        <v>0</v>
      </c>
      <c r="Q45" s="35">
        <f>IF(Предпосылки!$C315="Да",Q22/(1+Налоги!N$6),Q22)</f>
        <v>0</v>
      </c>
      <c r="R45" s="270">
        <f t="shared" si="2"/>
        <v>0</v>
      </c>
    </row>
    <row r="46" spans="1:18" x14ac:dyDescent="0.25">
      <c r="A46" s="198" t="s">
        <v>173</v>
      </c>
      <c r="B46" s="442">
        <f t="shared" si="3"/>
        <v>0</v>
      </c>
      <c r="C46" s="25"/>
      <c r="D46" s="25"/>
      <c r="E46" s="25"/>
      <c r="G46" s="210" t="s">
        <v>39</v>
      </c>
      <c r="H46" s="35">
        <f>IF(Предпосылки!$C316="Да",H23/(1+Налоги!E$6),H23)</f>
        <v>0</v>
      </c>
      <c r="I46" s="35">
        <f>IF(Предпосылки!$C316="Да",I23/(1+Налоги!F$6),I23)</f>
        <v>0</v>
      </c>
      <c r="J46" s="35">
        <f>IF(Предпосылки!$C316="Да",J23/(1+Налоги!G$6),J23)</f>
        <v>0</v>
      </c>
      <c r="K46" s="35">
        <f>IF(Предпосылки!$C316="Да",K23/(1+Налоги!H$6),K23)</f>
        <v>0</v>
      </c>
      <c r="L46" s="35">
        <f>IF(Предпосылки!$C316="Да",L23/(1+Налоги!I$6),L23)</f>
        <v>0</v>
      </c>
      <c r="M46" s="35">
        <f>IF(Предпосылки!$C316="Да",M23/(1+Налоги!J$6),M23)</f>
        <v>0</v>
      </c>
      <c r="N46" s="35">
        <f>IF(Предпосылки!$C316="Да",N23/(1+Налоги!K$6),N23)</f>
        <v>0</v>
      </c>
      <c r="O46" s="35">
        <f>IF(Предпосылки!$C316="Да",O23/(1+Налоги!L$6),O23)</f>
        <v>0</v>
      </c>
      <c r="P46" s="35">
        <f>IF(Предпосылки!$C316="Да",P23/(1+Налоги!M$6),P23)</f>
        <v>0</v>
      </c>
      <c r="Q46" s="35">
        <f>IF(Предпосылки!$C316="Да",Q23/(1+Налоги!N$6),Q23)</f>
        <v>0</v>
      </c>
      <c r="R46" s="270">
        <f t="shared" si="2"/>
        <v>0</v>
      </c>
    </row>
    <row r="47" spans="1:18" x14ac:dyDescent="0.25">
      <c r="A47" s="198" t="s">
        <v>174</v>
      </c>
      <c r="B47" s="442">
        <f t="shared" si="3"/>
        <v>0</v>
      </c>
      <c r="C47" s="25"/>
      <c r="D47" s="25"/>
      <c r="E47" s="25"/>
      <c r="G47" s="210" t="s">
        <v>39</v>
      </c>
      <c r="H47" s="35">
        <f>IF(Предпосылки!$C317="Да",H24/(1+Налоги!E$6),H24)</f>
        <v>0</v>
      </c>
      <c r="I47" s="35">
        <f>IF(Предпосылки!$C317="Да",I24/(1+Налоги!F$6),I24)</f>
        <v>0</v>
      </c>
      <c r="J47" s="35">
        <f>IF(Предпосылки!$C317="Да",J24/(1+Налоги!G$6),J24)</f>
        <v>0</v>
      </c>
      <c r="K47" s="35">
        <f>IF(Предпосылки!$C317="Да",K24/(1+Налоги!H$6),K24)</f>
        <v>0</v>
      </c>
      <c r="L47" s="35">
        <f>IF(Предпосылки!$C317="Да",L24/(1+Налоги!I$6),L24)</f>
        <v>0</v>
      </c>
      <c r="M47" s="35">
        <f>IF(Предпосылки!$C317="Да",M24/(1+Налоги!J$6),M24)</f>
        <v>0</v>
      </c>
      <c r="N47" s="35">
        <f>IF(Предпосылки!$C317="Да",N24/(1+Налоги!K$6),N24)</f>
        <v>0</v>
      </c>
      <c r="O47" s="35">
        <f>IF(Предпосылки!$C317="Да",O24/(1+Налоги!L$6),O24)</f>
        <v>0</v>
      </c>
      <c r="P47" s="35">
        <f>IF(Предпосылки!$C317="Да",P24/(1+Налоги!M$6),P24)</f>
        <v>0</v>
      </c>
      <c r="Q47" s="35">
        <f>IF(Предпосылки!$C317="Да",Q24/(1+Налоги!N$6),Q24)</f>
        <v>0</v>
      </c>
      <c r="R47" s="270">
        <f t="shared" si="2"/>
        <v>0</v>
      </c>
    </row>
    <row r="48" spans="1:18" x14ac:dyDescent="0.25">
      <c r="A48" s="198" t="s">
        <v>175</v>
      </c>
      <c r="B48" s="442">
        <f t="shared" si="3"/>
        <v>0</v>
      </c>
      <c r="C48" s="25"/>
      <c r="D48" s="25"/>
      <c r="E48" s="25"/>
      <c r="G48" s="210" t="s">
        <v>39</v>
      </c>
      <c r="H48" s="35">
        <f>IF(Предпосылки!$C318="Да",H25/(1+Налоги!E$6),H25)</f>
        <v>0</v>
      </c>
      <c r="I48" s="35">
        <f>IF(Предпосылки!$C318="Да",I25/(1+Налоги!F$6),I25)</f>
        <v>0</v>
      </c>
      <c r="J48" s="35">
        <f>IF(Предпосылки!$C318="Да",J25/(1+Налоги!G$6),J25)</f>
        <v>0</v>
      </c>
      <c r="K48" s="35">
        <f>IF(Предпосылки!$C318="Да",K25/(1+Налоги!H$6),K25)</f>
        <v>0</v>
      </c>
      <c r="L48" s="35">
        <f>IF(Предпосылки!$C318="Да",L25/(1+Налоги!I$6),L25)</f>
        <v>0</v>
      </c>
      <c r="M48" s="35">
        <f>IF(Предпосылки!$C318="Да",M25/(1+Налоги!J$6),M25)</f>
        <v>0</v>
      </c>
      <c r="N48" s="35">
        <f>IF(Предпосылки!$C318="Да",N25/(1+Налоги!K$6),N25)</f>
        <v>0</v>
      </c>
      <c r="O48" s="35">
        <f>IF(Предпосылки!$C318="Да",O25/(1+Налоги!L$6),O25)</f>
        <v>0</v>
      </c>
      <c r="P48" s="35">
        <f>IF(Предпосылки!$C318="Да",P25/(1+Налоги!M$6),P25)</f>
        <v>0</v>
      </c>
      <c r="Q48" s="35">
        <f>IF(Предпосылки!$C318="Да",Q25/(1+Налоги!N$6),Q25)</f>
        <v>0</v>
      </c>
      <c r="R48" s="270">
        <f t="shared" si="2"/>
        <v>0</v>
      </c>
    </row>
    <row r="49" spans="1:19" x14ac:dyDescent="0.25">
      <c r="A49" s="198" t="s">
        <v>176</v>
      </c>
      <c r="B49" s="56" t="str">
        <f t="shared" si="3"/>
        <v>Проценты на инвест.стадии (рассчитываются автоматически)</v>
      </c>
      <c r="C49" s="25"/>
      <c r="D49" s="25"/>
      <c r="E49" s="25"/>
      <c r="G49" s="210" t="s">
        <v>39</v>
      </c>
      <c r="H49" s="35">
        <f>IF(Предпосылки!$C319="Да",H26/(1+Налоги!E$6),H26)</f>
        <v>1500</v>
      </c>
      <c r="I49" s="35">
        <f>IF(Предпосылки!$C319="Да",I26/(1+Налоги!F$6),I26)</f>
        <v>0</v>
      </c>
      <c r="J49" s="35">
        <f>IF(Предпосылки!$C319="Да",J26/(1+Налоги!G$6),J26)</f>
        <v>0</v>
      </c>
      <c r="K49" s="35">
        <f>IF(Предпосылки!$C319="Да",K26/(1+Налоги!H$6),K26)</f>
        <v>0</v>
      </c>
      <c r="L49" s="35">
        <f>IF(Предпосылки!$C319="Да",L26/(1+Налоги!I$6),L26)</f>
        <v>0</v>
      </c>
      <c r="M49" s="35">
        <f>IF(Предпосылки!$C319="Да",M26/(1+Налоги!J$6),M26)</f>
        <v>0</v>
      </c>
      <c r="N49" s="35">
        <f>IF(Предпосылки!$C319="Да",N26/(1+Налоги!K$6),N26)</f>
        <v>0</v>
      </c>
      <c r="O49" s="35">
        <f>IF(Предпосылки!$C319="Да",O26/(1+Налоги!L$6),O26)</f>
        <v>0</v>
      </c>
      <c r="P49" s="35">
        <f>IF(Предпосылки!$C319="Да",P26/(1+Налоги!M$6),P26)</f>
        <v>0</v>
      </c>
      <c r="Q49" s="35">
        <f>IF(Предпосылки!$C319="Да",Q26/(1+Налоги!N$6),Q26)</f>
        <v>0</v>
      </c>
      <c r="R49" s="270">
        <f t="shared" si="2"/>
        <v>1500</v>
      </c>
    </row>
    <row r="50" spans="1:19" x14ac:dyDescent="0.25">
      <c r="A50" s="198" t="s">
        <v>177</v>
      </c>
      <c r="B50" s="56" t="str">
        <f t="shared" si="3"/>
        <v>Операционные расходы на инвест.стадии до получения выручки (рассчитываются автоматически)</v>
      </c>
      <c r="C50" s="25"/>
      <c r="D50" s="25"/>
      <c r="E50" s="25"/>
      <c r="G50" s="210" t="s">
        <v>39</v>
      </c>
      <c r="H50" s="35">
        <f>IF(Предпосылки!$C320="Да",H27/(1+Налоги!E$6),H27)</f>
        <v>3375.9960193150691</v>
      </c>
      <c r="I50" s="35">
        <f>IF(Предпосылки!$C320="Да",I27/(1+Налоги!F$6),I27)</f>
        <v>0</v>
      </c>
      <c r="J50" s="35">
        <f>IF(Предпосылки!$C320="Да",J27/(1+Налоги!G$6),J27)</f>
        <v>0</v>
      </c>
      <c r="K50" s="35">
        <f>IF(Предпосылки!$C320="Да",K27/(1+Налоги!H$6),K27)</f>
        <v>0</v>
      </c>
      <c r="L50" s="35">
        <f>IF(Предпосылки!$C320="Да",L27/(1+Налоги!I$6),L27)</f>
        <v>0</v>
      </c>
      <c r="M50" s="35">
        <f>IF(Предпосылки!$C320="Да",M27/(1+Налоги!J$6),M27)</f>
        <v>0</v>
      </c>
      <c r="N50" s="35">
        <f>IF(Предпосылки!$C320="Да",N27/(1+Налоги!K$6),N27)</f>
        <v>0</v>
      </c>
      <c r="O50" s="35">
        <f>IF(Предпосылки!$C320="Да",O27/(1+Налоги!L$6),O27)</f>
        <v>0</v>
      </c>
      <c r="P50" s="35">
        <f>IF(Предпосылки!$C320="Да",P27/(1+Налоги!M$6),P27)</f>
        <v>0</v>
      </c>
      <c r="Q50" s="35">
        <f>IF(Предпосылки!$C320="Да",Q27/(1+Налоги!N$6),Q27)</f>
        <v>0</v>
      </c>
      <c r="R50" s="270">
        <f t="shared" si="2"/>
        <v>3375.9960193150691</v>
      </c>
    </row>
    <row r="51" spans="1:19" x14ac:dyDescent="0.25">
      <c r="B51" s="12" t="s">
        <v>196</v>
      </c>
      <c r="C51" s="32"/>
      <c r="D51" s="32"/>
      <c r="E51" s="32"/>
      <c r="F51" s="21"/>
      <c r="G51" s="11" t="s">
        <v>39</v>
      </c>
      <c r="H51" s="13">
        <f>SUM(H31:H50)</f>
        <v>71060.996019315062</v>
      </c>
      <c r="I51" s="13">
        <f t="shared" ref="I51:Q51" si="4">SUM(I31:I50)</f>
        <v>127346.45</v>
      </c>
      <c r="J51" s="13">
        <f t="shared" si="4"/>
        <v>2431.1595000000002</v>
      </c>
      <c r="K51" s="13">
        <f t="shared" si="4"/>
        <v>0</v>
      </c>
      <c r="L51" s="13">
        <f t="shared" si="4"/>
        <v>0</v>
      </c>
      <c r="M51" s="13">
        <f t="shared" si="4"/>
        <v>0</v>
      </c>
      <c r="N51" s="13">
        <f t="shared" si="4"/>
        <v>0</v>
      </c>
      <c r="O51" s="13">
        <f t="shared" si="4"/>
        <v>0</v>
      </c>
      <c r="P51" s="13">
        <f t="shared" si="4"/>
        <v>0</v>
      </c>
      <c r="Q51" s="13">
        <f t="shared" si="4"/>
        <v>0</v>
      </c>
      <c r="R51" s="340">
        <f t="shared" si="2"/>
        <v>200838.60551931505</v>
      </c>
    </row>
    <row r="52" spans="1:19" x14ac:dyDescent="0.25">
      <c r="C52" s="25"/>
      <c r="D52" s="25"/>
      <c r="E52" s="25"/>
      <c r="G52" s="210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5"/>
    </row>
    <row r="53" spans="1:19" x14ac:dyDescent="0.25">
      <c r="B53" s="189" t="s">
        <v>57</v>
      </c>
      <c r="C53" s="191"/>
      <c r="D53" s="191"/>
      <c r="E53" s="191"/>
      <c r="G53" s="243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</row>
    <row r="55" spans="1:19" x14ac:dyDescent="0.25">
      <c r="B55" s="162" t="s">
        <v>386</v>
      </c>
      <c r="C55" s="162"/>
      <c r="D55" s="162"/>
      <c r="E55" s="162"/>
      <c r="G55" s="470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7" t="s">
        <v>463</v>
      </c>
    </row>
    <row r="56" spans="1:19" x14ac:dyDescent="0.25">
      <c r="A56" s="198" t="s">
        <v>151</v>
      </c>
      <c r="B56" s="435" t="str">
        <f>B31</f>
        <v>Здания и сооружения</v>
      </c>
      <c r="G56" s="210" t="s">
        <v>39</v>
      </c>
      <c r="H56" s="35">
        <f>IF(H$1&gt;=Предпосылки!$G327,SUM($H31:H31),0)</f>
        <v>0</v>
      </c>
      <c r="I56" s="35">
        <f>IF(I$1&gt;=Предпосылки!$G327,SUM($H31:I31),0)</f>
        <v>88980.85</v>
      </c>
      <c r="J56" s="35">
        <f>IF(J$1&gt;=Предпосылки!$G327,SUM($H31:J31),0)</f>
        <v>88980.85</v>
      </c>
      <c r="K56" s="35">
        <f>IF(K$1&gt;=Предпосылки!$G327,SUM($H31:K31),0)</f>
        <v>88980.85</v>
      </c>
      <c r="L56" s="35">
        <f>IF(L$1&gt;=Предпосылки!$G327,SUM($H31:L31),0)</f>
        <v>88980.85</v>
      </c>
      <c r="M56" s="35">
        <f>IF(M$1&gt;=Предпосылки!$G327,SUM($H31:M31),0)</f>
        <v>88980.85</v>
      </c>
      <c r="N56" s="35">
        <f>IF(N$1&gt;=Предпосылки!$G327,SUM($H31:N31),0)</f>
        <v>88980.85</v>
      </c>
      <c r="O56" s="35">
        <f>IF(O$1&gt;=Предпосылки!$G327,SUM($H31:O31),0)</f>
        <v>88980.85</v>
      </c>
      <c r="P56" s="35">
        <f>IF(P$1&gt;=Предпосылки!$G327,SUM($H31:P31),0)</f>
        <v>88980.85</v>
      </c>
      <c r="Q56" s="35">
        <f>IF(Q$1&gt;=Предпосылки!$G327,SUM($H31:Q31),0)</f>
        <v>88980.85</v>
      </c>
      <c r="R56" s="538">
        <f>R31</f>
        <v>88980.85</v>
      </c>
      <c r="S56" s="579">
        <f>Q56-R56</f>
        <v>0</v>
      </c>
    </row>
    <row r="57" spans="1:19" x14ac:dyDescent="0.25">
      <c r="A57" s="198" t="s">
        <v>152</v>
      </c>
      <c r="B57" s="435" t="str">
        <f t="shared" ref="B57:B75" si="5">B32</f>
        <v>Инженерные сети</v>
      </c>
      <c r="G57" s="210" t="s">
        <v>39</v>
      </c>
      <c r="H57" s="35">
        <f>IF(H$1&gt;=Предпосылки!$G328,SUM($H32:H32),0)</f>
        <v>0</v>
      </c>
      <c r="I57" s="35">
        <f>IF(I$1&gt;=Предпосылки!$G328,SUM($H32:I32),0)</f>
        <v>5570.3899999999994</v>
      </c>
      <c r="J57" s="35">
        <f>IF(J$1&gt;=Предпосылки!$G328,SUM($H32:J32),0)</f>
        <v>5570.3899999999994</v>
      </c>
      <c r="K57" s="35">
        <f>IF(K$1&gt;=Предпосылки!$G328,SUM($H32:K32),0)</f>
        <v>5570.3899999999994</v>
      </c>
      <c r="L57" s="35">
        <f>IF(L$1&gt;=Предпосылки!$G328,SUM($H32:L32),0)</f>
        <v>5570.3899999999994</v>
      </c>
      <c r="M57" s="35">
        <f>IF(M$1&gt;=Предпосылки!$G328,SUM($H32:M32),0)</f>
        <v>5570.3899999999994</v>
      </c>
      <c r="N57" s="35">
        <f>IF(N$1&gt;=Предпосылки!$G328,SUM($H32:N32),0)</f>
        <v>5570.3899999999994</v>
      </c>
      <c r="O57" s="35">
        <f>IF(O$1&gt;=Предпосылки!$G328,SUM($H32:O32),0)</f>
        <v>5570.3899999999994</v>
      </c>
      <c r="P57" s="35">
        <f>IF(P$1&gt;=Предпосылки!$G328,SUM($H32:P32),0)</f>
        <v>5570.3899999999994</v>
      </c>
      <c r="Q57" s="35">
        <f>IF(Q$1&gt;=Предпосылки!$G328,SUM($H32:Q32),0)</f>
        <v>5570.3899999999994</v>
      </c>
      <c r="R57" s="538">
        <f t="shared" ref="R57:R75" si="6">R32</f>
        <v>5570.3899999999994</v>
      </c>
      <c r="S57" s="579">
        <f t="shared" ref="S57:S75" si="7">Q57-R57</f>
        <v>0</v>
      </c>
    </row>
    <row r="58" spans="1:19" x14ac:dyDescent="0.25">
      <c r="A58" s="198" t="s">
        <v>153</v>
      </c>
      <c r="B58" s="435" t="str">
        <f t="shared" si="5"/>
        <v>Оборудование</v>
      </c>
      <c r="G58" s="210" t="s">
        <v>39</v>
      </c>
      <c r="H58" s="35">
        <f>IF(H$1&gt;=Предпосылки!$G329,SUM($H33:H33),0)</f>
        <v>0</v>
      </c>
      <c r="I58" s="35">
        <f>IF(I$1&gt;=Предпосылки!$G329,SUM($H33:I33),0)</f>
        <v>34730.85</v>
      </c>
      <c r="J58" s="35">
        <f>IF(J$1&gt;=Предпосылки!$G329,SUM($H33:J33),0)</f>
        <v>37162.0095</v>
      </c>
      <c r="K58" s="35">
        <f>IF(K$1&gt;=Предпосылки!$G329,SUM($H33:K33),0)</f>
        <v>37162.0095</v>
      </c>
      <c r="L58" s="35">
        <f>IF(L$1&gt;=Предпосылки!$G329,SUM($H33:L33),0)</f>
        <v>37162.0095</v>
      </c>
      <c r="M58" s="35">
        <f>IF(M$1&gt;=Предпосылки!$G329,SUM($H33:M33),0)</f>
        <v>37162.0095</v>
      </c>
      <c r="N58" s="35">
        <f>IF(N$1&gt;=Предпосылки!$G329,SUM($H33:N33),0)</f>
        <v>37162.0095</v>
      </c>
      <c r="O58" s="35">
        <f>IF(O$1&gt;=Предпосылки!$G329,SUM($H33:O33),0)</f>
        <v>37162.0095</v>
      </c>
      <c r="P58" s="35">
        <f>IF(P$1&gt;=Предпосылки!$G329,SUM($H33:P33),0)</f>
        <v>37162.0095</v>
      </c>
      <c r="Q58" s="35">
        <f>IF(Q$1&gt;=Предпосылки!$G329,SUM($H33:Q33),0)</f>
        <v>37162.0095</v>
      </c>
      <c r="R58" s="538">
        <f t="shared" si="6"/>
        <v>37162.0095</v>
      </c>
      <c r="S58" s="579">
        <f t="shared" si="7"/>
        <v>0</v>
      </c>
    </row>
    <row r="59" spans="1:19" x14ac:dyDescent="0.25">
      <c r="A59" s="198" t="s">
        <v>154</v>
      </c>
      <c r="B59" s="435" t="str">
        <f t="shared" si="5"/>
        <v>Транспорт</v>
      </c>
      <c r="G59" s="210" t="s">
        <v>39</v>
      </c>
      <c r="H59" s="35">
        <f>IF(H$1&gt;=Предпосылки!$G330,SUM($H34:H34),0)</f>
        <v>0</v>
      </c>
      <c r="I59" s="35">
        <f>IF(I$1&gt;=Предпосылки!$G330,SUM($H34:I34),0)</f>
        <v>28942.374999999996</v>
      </c>
      <c r="J59" s="35">
        <f>IF(J$1&gt;=Предпосылки!$G330,SUM($H34:J34),0)</f>
        <v>28942.374999999996</v>
      </c>
      <c r="K59" s="35">
        <f>IF(K$1&gt;=Предпосылки!$G330,SUM($H34:K34),0)</f>
        <v>28942.374999999996</v>
      </c>
      <c r="L59" s="35">
        <f>IF(L$1&gt;=Предпосылки!$G330,SUM($H34:L34),0)</f>
        <v>28942.374999999996</v>
      </c>
      <c r="M59" s="35">
        <f>IF(M$1&gt;=Предпосылки!$G330,SUM($H34:M34),0)</f>
        <v>28942.374999999996</v>
      </c>
      <c r="N59" s="35">
        <f>IF(N$1&gt;=Предпосылки!$G330,SUM($H34:N34),0)</f>
        <v>28942.374999999996</v>
      </c>
      <c r="O59" s="35">
        <f>IF(O$1&gt;=Предпосылки!$G330,SUM($H34:O34),0)</f>
        <v>28942.374999999996</v>
      </c>
      <c r="P59" s="35">
        <f>IF(P$1&gt;=Предпосылки!$G330,SUM($H34:P34),0)</f>
        <v>28942.374999999996</v>
      </c>
      <c r="Q59" s="35">
        <f>IF(Q$1&gt;=Предпосылки!$G330,SUM($H34:Q34),0)</f>
        <v>28942.374999999996</v>
      </c>
      <c r="R59" s="538">
        <f t="shared" si="6"/>
        <v>28942.374999999996</v>
      </c>
      <c r="S59" s="579">
        <f t="shared" si="7"/>
        <v>0</v>
      </c>
    </row>
    <row r="60" spans="1:19" x14ac:dyDescent="0.25">
      <c r="A60" s="198" t="s">
        <v>155</v>
      </c>
      <c r="B60" s="435" t="str">
        <f t="shared" si="5"/>
        <v>Дороги</v>
      </c>
      <c r="G60" s="210" t="s">
        <v>39</v>
      </c>
      <c r="H60" s="35">
        <f>IF(H$1&gt;=Предпосылки!$G331,SUM($H35:H35),0)</f>
        <v>5425</v>
      </c>
      <c r="I60" s="35">
        <f>IF(I$1&gt;=Предпосылки!$G331,SUM($H35:I35),0)</f>
        <v>28578.899999999998</v>
      </c>
      <c r="J60" s="35">
        <f>IF(J$1&gt;=Предпосылки!$G331,SUM($H35:J35),0)</f>
        <v>28578.899999999998</v>
      </c>
      <c r="K60" s="35">
        <f>IF(K$1&gt;=Предпосылки!$G331,SUM($H35:K35),0)</f>
        <v>28578.899999999998</v>
      </c>
      <c r="L60" s="35">
        <f>IF(L$1&gt;=Предпосылки!$G331,SUM($H35:L35),0)</f>
        <v>28578.899999999998</v>
      </c>
      <c r="M60" s="35">
        <f>IF(M$1&gt;=Предпосылки!$G331,SUM($H35:M35),0)</f>
        <v>28578.899999999998</v>
      </c>
      <c r="N60" s="35">
        <f>IF(N$1&gt;=Предпосылки!$G331,SUM($H35:N35),0)</f>
        <v>28578.899999999998</v>
      </c>
      <c r="O60" s="35">
        <f>IF(O$1&gt;=Предпосылки!$G331,SUM($H35:O35),0)</f>
        <v>28578.899999999998</v>
      </c>
      <c r="P60" s="35">
        <f>IF(P$1&gt;=Предпосылки!$G331,SUM($H35:P35),0)</f>
        <v>28578.899999999998</v>
      </c>
      <c r="Q60" s="35">
        <f>IF(Q$1&gt;=Предпосылки!$G331,SUM($H35:Q35),0)</f>
        <v>28578.899999999998</v>
      </c>
      <c r="R60" s="538">
        <f t="shared" si="6"/>
        <v>28578.899999999998</v>
      </c>
      <c r="S60" s="579">
        <f t="shared" si="7"/>
        <v>0</v>
      </c>
    </row>
    <row r="61" spans="1:19" x14ac:dyDescent="0.25">
      <c r="A61" s="198" t="s">
        <v>156</v>
      </c>
      <c r="B61" s="435" t="str">
        <f t="shared" si="5"/>
        <v>HMA</v>
      </c>
      <c r="G61" s="210" t="s">
        <v>39</v>
      </c>
      <c r="H61" s="35">
        <f>IF(H$1&gt;=Предпосылки!$G332,SUM($H36:H36),0)</f>
        <v>0</v>
      </c>
      <c r="I61" s="35">
        <f>IF(I$1&gt;=Предпосылки!$G332,SUM($H36:I36),0)</f>
        <v>1157.6949999999999</v>
      </c>
      <c r="J61" s="35">
        <f>IF(J$1&gt;=Предпосылки!$G332,SUM($H36:J36),0)</f>
        <v>1157.6949999999999</v>
      </c>
      <c r="K61" s="35">
        <f>IF(K$1&gt;=Предпосылки!$G332,SUM($H36:K36),0)</f>
        <v>1157.6949999999999</v>
      </c>
      <c r="L61" s="35">
        <f>IF(L$1&gt;=Предпосылки!$G332,SUM($H36:L36),0)</f>
        <v>1157.6949999999999</v>
      </c>
      <c r="M61" s="35">
        <f>IF(M$1&gt;=Предпосылки!$G332,SUM($H36:M36),0)</f>
        <v>1157.6949999999999</v>
      </c>
      <c r="N61" s="35">
        <f>IF(N$1&gt;=Предпосылки!$G332,SUM($H36:N36),0)</f>
        <v>1157.6949999999999</v>
      </c>
      <c r="O61" s="35">
        <f>IF(O$1&gt;=Предпосылки!$G332,SUM($H36:O36),0)</f>
        <v>1157.6949999999999</v>
      </c>
      <c r="P61" s="35">
        <f>IF(P$1&gt;=Предпосылки!$G332,SUM($H36:P36),0)</f>
        <v>1157.6949999999999</v>
      </c>
      <c r="Q61" s="35">
        <f>IF(Q$1&gt;=Предпосылки!$G332,SUM($H36:Q36),0)</f>
        <v>1157.6949999999999</v>
      </c>
      <c r="R61" s="538">
        <f t="shared" si="6"/>
        <v>1157.6949999999999</v>
      </c>
      <c r="S61" s="579">
        <f t="shared" si="7"/>
        <v>0</v>
      </c>
    </row>
    <row r="62" spans="1:19" x14ac:dyDescent="0.25">
      <c r="A62" s="198" t="s">
        <v>157</v>
      </c>
      <c r="B62" s="435" t="str">
        <f t="shared" si="5"/>
        <v>Подготовительные расходы (ПИР, СМР)</v>
      </c>
      <c r="G62" s="210" t="s">
        <v>39</v>
      </c>
      <c r="H62" s="35">
        <f>IF(H$1&gt;=Предпосылки!$G333,SUM($H37:H37),0)</f>
        <v>3255</v>
      </c>
      <c r="I62" s="35">
        <f>IF(I$1&gt;=Предпосылки!$G333,SUM($H37:I37),0)</f>
        <v>5570.3899999999994</v>
      </c>
      <c r="J62" s="35">
        <f>IF(J$1&gt;=Предпосылки!$G333,SUM($H37:J37),0)</f>
        <v>5570.3899999999994</v>
      </c>
      <c r="K62" s="35">
        <f>IF(K$1&gt;=Предпосылки!$G333,SUM($H37:K37),0)</f>
        <v>5570.3899999999994</v>
      </c>
      <c r="L62" s="35">
        <f>IF(L$1&gt;=Предпосылки!$G333,SUM($H37:L37),0)</f>
        <v>5570.3899999999994</v>
      </c>
      <c r="M62" s="35">
        <f>IF(M$1&gt;=Предпосылки!$G333,SUM($H37:M37),0)</f>
        <v>5570.3899999999994</v>
      </c>
      <c r="N62" s="35">
        <f>IF(N$1&gt;=Предпосылки!$G333,SUM($H37:N37),0)</f>
        <v>5570.3899999999994</v>
      </c>
      <c r="O62" s="35">
        <f>IF(O$1&gt;=Предпосылки!$G333,SUM($H37:O37),0)</f>
        <v>5570.3899999999994</v>
      </c>
      <c r="P62" s="35">
        <f>IF(P$1&gt;=Предпосылки!$G333,SUM($H37:P37),0)</f>
        <v>5570.3899999999994</v>
      </c>
      <c r="Q62" s="35">
        <f>IF(Q$1&gt;=Предпосылки!$G333,SUM($H37:Q37),0)</f>
        <v>5570.3899999999994</v>
      </c>
      <c r="R62" s="538">
        <f t="shared" si="6"/>
        <v>5570.3899999999994</v>
      </c>
      <c r="S62" s="579">
        <f t="shared" si="7"/>
        <v>0</v>
      </c>
    </row>
    <row r="63" spans="1:19" x14ac:dyDescent="0.25">
      <c r="A63" s="198" t="s">
        <v>158</v>
      </c>
      <c r="B63" s="435">
        <f t="shared" si="5"/>
        <v>0</v>
      </c>
      <c r="G63" s="210" t="s">
        <v>39</v>
      </c>
      <c r="H63" s="35">
        <f>IF(H$1&gt;=Предпосылки!$G334,SUM($H38:H38),0)</f>
        <v>0</v>
      </c>
      <c r="I63" s="35">
        <f>IF(I$1&gt;=Предпосылки!$G334,SUM($H38:I38),0)</f>
        <v>0</v>
      </c>
      <c r="J63" s="35">
        <f>IF(J$1&gt;=Предпосылки!$G334,SUM($H38:J38),0)</f>
        <v>0</v>
      </c>
      <c r="K63" s="35">
        <f>IF(K$1&gt;=Предпосылки!$G334,SUM($H38:K38),0)</f>
        <v>0</v>
      </c>
      <c r="L63" s="35">
        <f>IF(L$1&gt;=Предпосылки!$G334,SUM($H38:L38),0)</f>
        <v>0</v>
      </c>
      <c r="M63" s="35">
        <f>IF(M$1&gt;=Предпосылки!$G334,SUM($H38:M38),0)</f>
        <v>0</v>
      </c>
      <c r="N63" s="35">
        <f>IF(N$1&gt;=Предпосылки!$G334,SUM($H38:N38),0)</f>
        <v>0</v>
      </c>
      <c r="O63" s="35">
        <f>IF(O$1&gt;=Предпосылки!$G334,SUM($H38:O38),0)</f>
        <v>0</v>
      </c>
      <c r="P63" s="35">
        <f>IF(P$1&gt;=Предпосылки!$G334,SUM($H38:P38),0)</f>
        <v>0</v>
      </c>
      <c r="Q63" s="35">
        <f>IF(Q$1&gt;=Предпосылки!$G334,SUM($H38:Q38),0)</f>
        <v>0</v>
      </c>
      <c r="R63" s="538">
        <f t="shared" si="6"/>
        <v>0</v>
      </c>
      <c r="S63" s="579">
        <f t="shared" si="7"/>
        <v>0</v>
      </c>
    </row>
    <row r="64" spans="1:19" x14ac:dyDescent="0.25">
      <c r="A64" s="198" t="s">
        <v>159</v>
      </c>
      <c r="B64" s="435">
        <f t="shared" si="5"/>
        <v>0</v>
      </c>
      <c r="G64" s="210" t="s">
        <v>39</v>
      </c>
      <c r="H64" s="35">
        <f>IF(H$1&gt;=Предпосылки!$G335,SUM($H39:H39),0)</f>
        <v>0</v>
      </c>
      <c r="I64" s="35">
        <f>IF(I$1&gt;=Предпосылки!$G335,SUM($H39:I39),0)</f>
        <v>0</v>
      </c>
      <c r="J64" s="35">
        <f>IF(J$1&gt;=Предпосылки!$G335,SUM($H39:J39),0)</f>
        <v>0</v>
      </c>
      <c r="K64" s="35">
        <f>IF(K$1&gt;=Предпосылки!$G335,SUM($H39:K39),0)</f>
        <v>0</v>
      </c>
      <c r="L64" s="35">
        <f>IF(L$1&gt;=Предпосылки!$G335,SUM($H39:L39),0)</f>
        <v>0</v>
      </c>
      <c r="M64" s="35">
        <f>IF(M$1&gt;=Предпосылки!$G335,SUM($H39:M39),0)</f>
        <v>0</v>
      </c>
      <c r="N64" s="35">
        <f>IF(N$1&gt;=Предпосылки!$G335,SUM($H39:N39),0)</f>
        <v>0</v>
      </c>
      <c r="O64" s="35">
        <f>IF(O$1&gt;=Предпосылки!$G335,SUM($H39:O39),0)</f>
        <v>0</v>
      </c>
      <c r="P64" s="35">
        <f>IF(P$1&gt;=Предпосылки!$G335,SUM($H39:P39),0)</f>
        <v>0</v>
      </c>
      <c r="Q64" s="35">
        <f>IF(Q$1&gt;=Предпосылки!$G335,SUM($H39:Q39),0)</f>
        <v>0</v>
      </c>
      <c r="R64" s="538">
        <f t="shared" si="6"/>
        <v>0</v>
      </c>
      <c r="S64" s="579">
        <f t="shared" si="7"/>
        <v>0</v>
      </c>
    </row>
    <row r="65" spans="1:19" x14ac:dyDescent="0.25">
      <c r="A65" s="198" t="s">
        <v>160</v>
      </c>
      <c r="B65" s="435">
        <f t="shared" si="5"/>
        <v>0</v>
      </c>
      <c r="G65" s="210" t="s">
        <v>39</v>
      </c>
      <c r="H65" s="35">
        <f>IF(H$1&gt;=Предпосылки!$G336,SUM($H40:H40),0)</f>
        <v>0</v>
      </c>
      <c r="I65" s="35">
        <f>IF(I$1&gt;=Предпосылки!$G336,SUM($H40:I40),0)</f>
        <v>0</v>
      </c>
      <c r="J65" s="35">
        <f>IF(J$1&gt;=Предпосылки!$G336,SUM($H40:J40),0)</f>
        <v>0</v>
      </c>
      <c r="K65" s="35">
        <f>IF(K$1&gt;=Предпосылки!$G336,SUM($H40:K40),0)</f>
        <v>0</v>
      </c>
      <c r="L65" s="35">
        <f>IF(L$1&gt;=Предпосылки!$G336,SUM($H40:L40),0)</f>
        <v>0</v>
      </c>
      <c r="M65" s="35">
        <f>IF(M$1&gt;=Предпосылки!$G336,SUM($H40:M40),0)</f>
        <v>0</v>
      </c>
      <c r="N65" s="35">
        <f>IF(N$1&gt;=Предпосылки!$G336,SUM($H40:N40),0)</f>
        <v>0</v>
      </c>
      <c r="O65" s="35">
        <f>IF(O$1&gt;=Предпосылки!$G336,SUM($H40:O40),0)</f>
        <v>0</v>
      </c>
      <c r="P65" s="35">
        <f>IF(P$1&gt;=Предпосылки!$G336,SUM($H40:P40),0)</f>
        <v>0</v>
      </c>
      <c r="Q65" s="35">
        <f>IF(Q$1&gt;=Предпосылки!$G336,SUM($H40:Q40),0)</f>
        <v>0</v>
      </c>
      <c r="R65" s="538">
        <f t="shared" si="6"/>
        <v>0</v>
      </c>
      <c r="S65" s="579">
        <f t="shared" si="7"/>
        <v>0</v>
      </c>
    </row>
    <row r="66" spans="1:19" x14ac:dyDescent="0.25">
      <c r="A66" s="198" t="s">
        <v>168</v>
      </c>
      <c r="B66" s="435">
        <f t="shared" si="5"/>
        <v>0</v>
      </c>
      <c r="G66" s="210" t="s">
        <v>39</v>
      </c>
      <c r="H66" s="35">
        <f>IF(H$1&gt;=Предпосылки!$G337,SUM($H41:H41),0)</f>
        <v>0</v>
      </c>
      <c r="I66" s="35">
        <f>IF(I$1&gt;=Предпосылки!$G337,SUM($H41:I41),0)</f>
        <v>0</v>
      </c>
      <c r="J66" s="35">
        <f>IF(J$1&gt;=Предпосылки!$G337,SUM($H41:J41),0)</f>
        <v>0</v>
      </c>
      <c r="K66" s="35">
        <f>IF(K$1&gt;=Предпосылки!$G337,SUM($H41:K41),0)</f>
        <v>0</v>
      </c>
      <c r="L66" s="35">
        <f>IF(L$1&gt;=Предпосылки!$G337,SUM($H41:L41),0)</f>
        <v>0</v>
      </c>
      <c r="M66" s="35">
        <f>IF(M$1&gt;=Предпосылки!$G337,SUM($H41:M41),0)</f>
        <v>0</v>
      </c>
      <c r="N66" s="35">
        <f>IF(N$1&gt;=Предпосылки!$G337,SUM($H41:N41),0)</f>
        <v>0</v>
      </c>
      <c r="O66" s="35">
        <f>IF(O$1&gt;=Предпосылки!$G337,SUM($H41:O41),0)</f>
        <v>0</v>
      </c>
      <c r="P66" s="35">
        <f>IF(P$1&gt;=Предпосылки!$G337,SUM($H41:P41),0)</f>
        <v>0</v>
      </c>
      <c r="Q66" s="35">
        <f>IF(Q$1&gt;=Предпосылки!$G337,SUM($H41:Q41),0)</f>
        <v>0</v>
      </c>
      <c r="R66" s="538">
        <f t="shared" si="6"/>
        <v>0</v>
      </c>
      <c r="S66" s="579">
        <f t="shared" si="7"/>
        <v>0</v>
      </c>
    </row>
    <row r="67" spans="1:19" x14ac:dyDescent="0.25">
      <c r="A67" s="198" t="s">
        <v>169</v>
      </c>
      <c r="B67" s="435">
        <f t="shared" si="5"/>
        <v>0</v>
      </c>
      <c r="G67" s="210" t="s">
        <v>39</v>
      </c>
      <c r="H67" s="35">
        <f>IF(H$1&gt;=Предпосылки!$G338,SUM($H42:H42),0)</f>
        <v>0</v>
      </c>
      <c r="I67" s="35">
        <f>IF(I$1&gt;=Предпосылки!$G338,SUM($H42:I42),0)</f>
        <v>0</v>
      </c>
      <c r="J67" s="35">
        <f>IF(J$1&gt;=Предпосылки!$G338,SUM($H42:J42),0)</f>
        <v>0</v>
      </c>
      <c r="K67" s="35">
        <f>IF(K$1&gt;=Предпосылки!$G338,SUM($H42:K42),0)</f>
        <v>0</v>
      </c>
      <c r="L67" s="35">
        <f>IF(L$1&gt;=Предпосылки!$G338,SUM($H42:L42),0)</f>
        <v>0</v>
      </c>
      <c r="M67" s="35">
        <f>IF(M$1&gt;=Предпосылки!$G338,SUM($H42:M42),0)</f>
        <v>0</v>
      </c>
      <c r="N67" s="35">
        <f>IF(N$1&gt;=Предпосылки!$G338,SUM($H42:N42),0)</f>
        <v>0</v>
      </c>
      <c r="O67" s="35">
        <f>IF(O$1&gt;=Предпосылки!$G338,SUM($H42:O42),0)</f>
        <v>0</v>
      </c>
      <c r="P67" s="35">
        <f>IF(P$1&gt;=Предпосылки!$G338,SUM($H42:P42),0)</f>
        <v>0</v>
      </c>
      <c r="Q67" s="35">
        <f>IF(Q$1&gt;=Предпосылки!$G338,SUM($H42:Q42),0)</f>
        <v>0</v>
      </c>
      <c r="R67" s="538">
        <f t="shared" si="6"/>
        <v>0</v>
      </c>
      <c r="S67" s="579">
        <f t="shared" si="7"/>
        <v>0</v>
      </c>
    </row>
    <row r="68" spans="1:19" x14ac:dyDescent="0.25">
      <c r="A68" s="198" t="s">
        <v>170</v>
      </c>
      <c r="B68" s="435">
        <f t="shared" si="5"/>
        <v>0</v>
      </c>
      <c r="G68" s="210" t="s">
        <v>39</v>
      </c>
      <c r="H68" s="35">
        <f>IF(H$1&gt;=Предпосылки!$G339,SUM($H43:H43),0)</f>
        <v>0</v>
      </c>
      <c r="I68" s="35">
        <f>IF(I$1&gt;=Предпосылки!$G339,SUM($H43:I43),0)</f>
        <v>0</v>
      </c>
      <c r="J68" s="35">
        <f>IF(J$1&gt;=Предпосылки!$G339,SUM($H43:J43),0)</f>
        <v>0</v>
      </c>
      <c r="K68" s="35">
        <f>IF(K$1&gt;=Предпосылки!$G339,SUM($H43:K43),0)</f>
        <v>0</v>
      </c>
      <c r="L68" s="35">
        <f>IF(L$1&gt;=Предпосылки!$G339,SUM($H43:L43),0)</f>
        <v>0</v>
      </c>
      <c r="M68" s="35">
        <f>IF(M$1&gt;=Предпосылки!$G339,SUM($H43:M43),0)</f>
        <v>0</v>
      </c>
      <c r="N68" s="35">
        <f>IF(N$1&gt;=Предпосылки!$G339,SUM($H43:N43),0)</f>
        <v>0</v>
      </c>
      <c r="O68" s="35">
        <f>IF(O$1&gt;=Предпосылки!$G339,SUM($H43:O43),0)</f>
        <v>0</v>
      </c>
      <c r="P68" s="35">
        <f>IF(P$1&gt;=Предпосылки!$G339,SUM($H43:P43),0)</f>
        <v>0</v>
      </c>
      <c r="Q68" s="35">
        <f>IF(Q$1&gt;=Предпосылки!$G339,SUM($H43:Q43),0)</f>
        <v>0</v>
      </c>
      <c r="R68" s="538">
        <f t="shared" si="6"/>
        <v>0</v>
      </c>
      <c r="S68" s="579">
        <f t="shared" si="7"/>
        <v>0</v>
      </c>
    </row>
    <row r="69" spans="1:19" x14ac:dyDescent="0.25">
      <c r="A69" s="198" t="s">
        <v>171</v>
      </c>
      <c r="B69" s="435">
        <f t="shared" si="5"/>
        <v>0</v>
      </c>
      <c r="G69" s="210" t="s">
        <v>39</v>
      </c>
      <c r="H69" s="35">
        <f>IF(H$1&gt;=Предпосылки!$G340,SUM($H44:H44),0)</f>
        <v>0</v>
      </c>
      <c r="I69" s="35">
        <f>IF(I$1&gt;=Предпосылки!$G340,SUM($H44:I44),0)</f>
        <v>0</v>
      </c>
      <c r="J69" s="35">
        <f>IF(J$1&gt;=Предпосылки!$G340,SUM($H44:J44),0)</f>
        <v>0</v>
      </c>
      <c r="K69" s="35">
        <f>IF(K$1&gt;=Предпосылки!$G340,SUM($H44:K44),0)</f>
        <v>0</v>
      </c>
      <c r="L69" s="35">
        <f>IF(L$1&gt;=Предпосылки!$G340,SUM($H44:L44),0)</f>
        <v>0</v>
      </c>
      <c r="M69" s="35">
        <f>IF(M$1&gt;=Предпосылки!$G340,SUM($H44:M44),0)</f>
        <v>0</v>
      </c>
      <c r="N69" s="35">
        <f>IF(N$1&gt;=Предпосылки!$G340,SUM($H44:N44),0)</f>
        <v>0</v>
      </c>
      <c r="O69" s="35">
        <f>IF(O$1&gt;=Предпосылки!$G340,SUM($H44:O44),0)</f>
        <v>0</v>
      </c>
      <c r="P69" s="35">
        <f>IF(P$1&gt;=Предпосылки!$G340,SUM($H44:P44),0)</f>
        <v>0</v>
      </c>
      <c r="Q69" s="35">
        <f>IF(Q$1&gt;=Предпосылки!$G340,SUM($H44:Q44),0)</f>
        <v>0</v>
      </c>
      <c r="R69" s="538">
        <f t="shared" si="6"/>
        <v>0</v>
      </c>
      <c r="S69" s="579">
        <f t="shared" si="7"/>
        <v>0</v>
      </c>
    </row>
    <row r="70" spans="1:19" x14ac:dyDescent="0.25">
      <c r="A70" s="198" t="s">
        <v>172</v>
      </c>
      <c r="B70" s="435">
        <f t="shared" si="5"/>
        <v>0</v>
      </c>
      <c r="G70" s="210" t="s">
        <v>39</v>
      </c>
      <c r="H70" s="35">
        <f>IF(H$1&gt;=Предпосылки!$G341,SUM($H45:H45),0)</f>
        <v>0</v>
      </c>
      <c r="I70" s="35">
        <f>IF(I$1&gt;=Предпосылки!$G341,SUM($H45:I45),0)</f>
        <v>0</v>
      </c>
      <c r="J70" s="35">
        <f>IF(J$1&gt;=Предпосылки!$G341,SUM($H45:J45),0)</f>
        <v>0</v>
      </c>
      <c r="K70" s="35">
        <f>IF(K$1&gt;=Предпосылки!$G341,SUM($H45:K45),0)</f>
        <v>0</v>
      </c>
      <c r="L70" s="35">
        <f>IF(L$1&gt;=Предпосылки!$G341,SUM($H45:L45),0)</f>
        <v>0</v>
      </c>
      <c r="M70" s="35">
        <f>IF(M$1&gt;=Предпосылки!$G341,SUM($H45:M45),0)</f>
        <v>0</v>
      </c>
      <c r="N70" s="35">
        <f>IF(N$1&gt;=Предпосылки!$G341,SUM($H45:N45),0)</f>
        <v>0</v>
      </c>
      <c r="O70" s="35">
        <f>IF(O$1&gt;=Предпосылки!$G341,SUM($H45:O45),0)</f>
        <v>0</v>
      </c>
      <c r="P70" s="35">
        <f>IF(P$1&gt;=Предпосылки!$G341,SUM($H45:P45),0)</f>
        <v>0</v>
      </c>
      <c r="Q70" s="35">
        <f>IF(Q$1&gt;=Предпосылки!$G341,SUM($H45:Q45),0)</f>
        <v>0</v>
      </c>
      <c r="R70" s="538">
        <f t="shared" si="6"/>
        <v>0</v>
      </c>
      <c r="S70" s="579">
        <f t="shared" si="7"/>
        <v>0</v>
      </c>
    </row>
    <row r="71" spans="1:19" x14ac:dyDescent="0.25">
      <c r="A71" s="198" t="s">
        <v>173</v>
      </c>
      <c r="B71" s="435">
        <f t="shared" si="5"/>
        <v>0</v>
      </c>
      <c r="G71" s="210" t="s">
        <v>39</v>
      </c>
      <c r="H71" s="35">
        <f>IF(H$1&gt;=Предпосылки!$G342,SUM($H46:H46),0)</f>
        <v>0</v>
      </c>
      <c r="I71" s="35">
        <f>IF(I$1&gt;=Предпосылки!$G342,SUM($H46:I46),0)</f>
        <v>0</v>
      </c>
      <c r="J71" s="35">
        <f>IF(J$1&gt;=Предпосылки!$G342,SUM($H46:J46),0)</f>
        <v>0</v>
      </c>
      <c r="K71" s="35">
        <f>IF(K$1&gt;=Предпосылки!$G342,SUM($H46:K46),0)</f>
        <v>0</v>
      </c>
      <c r="L71" s="35">
        <f>IF(L$1&gt;=Предпосылки!$G342,SUM($H46:L46),0)</f>
        <v>0</v>
      </c>
      <c r="M71" s="35">
        <f>IF(M$1&gt;=Предпосылки!$G342,SUM($H46:M46),0)</f>
        <v>0</v>
      </c>
      <c r="N71" s="35">
        <f>IF(N$1&gt;=Предпосылки!$G342,SUM($H46:N46),0)</f>
        <v>0</v>
      </c>
      <c r="O71" s="35">
        <f>IF(O$1&gt;=Предпосылки!$G342,SUM($H46:O46),0)</f>
        <v>0</v>
      </c>
      <c r="P71" s="35">
        <f>IF(P$1&gt;=Предпосылки!$G342,SUM($H46:P46),0)</f>
        <v>0</v>
      </c>
      <c r="Q71" s="35">
        <f>IF(Q$1&gt;=Предпосылки!$G342,SUM($H46:Q46),0)</f>
        <v>0</v>
      </c>
      <c r="R71" s="538">
        <f t="shared" si="6"/>
        <v>0</v>
      </c>
      <c r="S71" s="579">
        <f t="shared" si="7"/>
        <v>0</v>
      </c>
    </row>
    <row r="72" spans="1:19" x14ac:dyDescent="0.25">
      <c r="A72" s="198" t="s">
        <v>174</v>
      </c>
      <c r="B72" s="435">
        <f t="shared" si="5"/>
        <v>0</v>
      </c>
      <c r="G72" s="210" t="s">
        <v>39</v>
      </c>
      <c r="H72" s="35">
        <f>IF(H$1&gt;=Предпосылки!$G343,SUM($H47:H47),0)</f>
        <v>0</v>
      </c>
      <c r="I72" s="35">
        <f>IF(I$1&gt;=Предпосылки!$G343,SUM($H47:I47),0)</f>
        <v>0</v>
      </c>
      <c r="J72" s="35">
        <f>IF(J$1&gt;=Предпосылки!$G343,SUM($H47:J47),0)</f>
        <v>0</v>
      </c>
      <c r="K72" s="35">
        <f>IF(K$1&gt;=Предпосылки!$G343,SUM($H47:K47),0)</f>
        <v>0</v>
      </c>
      <c r="L72" s="35">
        <f>IF(L$1&gt;=Предпосылки!$G343,SUM($H47:L47),0)</f>
        <v>0</v>
      </c>
      <c r="M72" s="35">
        <f>IF(M$1&gt;=Предпосылки!$G343,SUM($H47:M47),0)</f>
        <v>0</v>
      </c>
      <c r="N72" s="35">
        <f>IF(N$1&gt;=Предпосылки!$G343,SUM($H47:N47),0)</f>
        <v>0</v>
      </c>
      <c r="O72" s="35">
        <f>IF(O$1&gt;=Предпосылки!$G343,SUM($H47:O47),0)</f>
        <v>0</v>
      </c>
      <c r="P72" s="35">
        <f>IF(P$1&gt;=Предпосылки!$G343,SUM($H47:P47),0)</f>
        <v>0</v>
      </c>
      <c r="Q72" s="35">
        <f>IF(Q$1&gt;=Предпосылки!$G343,SUM($H47:Q47),0)</f>
        <v>0</v>
      </c>
      <c r="R72" s="538">
        <f t="shared" si="6"/>
        <v>0</v>
      </c>
      <c r="S72" s="579">
        <f t="shared" si="7"/>
        <v>0</v>
      </c>
    </row>
    <row r="73" spans="1:19" x14ac:dyDescent="0.25">
      <c r="A73" s="198" t="s">
        <v>175</v>
      </c>
      <c r="B73" s="435">
        <f t="shared" si="5"/>
        <v>0</v>
      </c>
      <c r="G73" s="210" t="s">
        <v>39</v>
      </c>
      <c r="H73" s="35">
        <f>IF(H$1&gt;=Предпосылки!$G344,SUM($H48:H48),0)</f>
        <v>0</v>
      </c>
      <c r="I73" s="35">
        <f>IF(I$1&gt;=Предпосылки!$G344,SUM($H48:I48),0)</f>
        <v>0</v>
      </c>
      <c r="J73" s="35">
        <f>IF(J$1&gt;=Предпосылки!$G344,SUM($H48:J48),0)</f>
        <v>0</v>
      </c>
      <c r="K73" s="35">
        <f>IF(K$1&gt;=Предпосылки!$G344,SUM($H48:K48),0)</f>
        <v>0</v>
      </c>
      <c r="L73" s="35">
        <f>IF(L$1&gt;=Предпосылки!$G344,SUM($H48:L48),0)</f>
        <v>0</v>
      </c>
      <c r="M73" s="35">
        <f>IF(M$1&gt;=Предпосылки!$G344,SUM($H48:M48),0)</f>
        <v>0</v>
      </c>
      <c r="N73" s="35">
        <f>IF(N$1&gt;=Предпосылки!$G344,SUM($H48:N48),0)</f>
        <v>0</v>
      </c>
      <c r="O73" s="35">
        <f>IF(O$1&gt;=Предпосылки!$G344,SUM($H48:O48),0)</f>
        <v>0</v>
      </c>
      <c r="P73" s="35">
        <f>IF(P$1&gt;=Предпосылки!$G344,SUM($H48:P48),0)</f>
        <v>0</v>
      </c>
      <c r="Q73" s="35">
        <f>IF(Q$1&gt;=Предпосылки!$G344,SUM($H48:Q48),0)</f>
        <v>0</v>
      </c>
      <c r="R73" s="538">
        <f t="shared" si="6"/>
        <v>0</v>
      </c>
      <c r="S73" s="579">
        <f t="shared" si="7"/>
        <v>0</v>
      </c>
    </row>
    <row r="74" spans="1:19" x14ac:dyDescent="0.25">
      <c r="A74" s="198" t="s">
        <v>176</v>
      </c>
      <c r="B74" s="435" t="str">
        <f t="shared" si="5"/>
        <v>Проценты на инвест.стадии (рассчитываются автоматически)</v>
      </c>
      <c r="G74" s="210" t="s">
        <v>39</v>
      </c>
      <c r="H74" s="35">
        <f>IF(H$1&gt;=Предпосылки!$G345,SUM($H49:H49),0)</f>
        <v>1500</v>
      </c>
      <c r="I74" s="35">
        <f>IF(I$1&gt;=Предпосылки!$G345,SUM($H49:I49),0)</f>
        <v>1500</v>
      </c>
      <c r="J74" s="35">
        <f>IF(J$1&gt;=Предпосылки!$G345,SUM($H49:J49),0)</f>
        <v>1500</v>
      </c>
      <c r="K74" s="35">
        <f>IF(K$1&gt;=Предпосылки!$G345,SUM($H49:K49),0)</f>
        <v>1500</v>
      </c>
      <c r="L74" s="35">
        <f>IF(L$1&gt;=Предпосылки!$G345,SUM($H49:L49),0)</f>
        <v>1500</v>
      </c>
      <c r="M74" s="35">
        <f>IF(M$1&gt;=Предпосылки!$G345,SUM($H49:M49),0)</f>
        <v>1500</v>
      </c>
      <c r="N74" s="35">
        <f>IF(N$1&gt;=Предпосылки!$G345,SUM($H49:N49),0)</f>
        <v>1500</v>
      </c>
      <c r="O74" s="35">
        <f>IF(O$1&gt;=Предпосылки!$G345,SUM($H49:O49),0)</f>
        <v>1500</v>
      </c>
      <c r="P74" s="35">
        <f>IF(P$1&gt;=Предпосылки!$G345,SUM($H49:P49),0)</f>
        <v>1500</v>
      </c>
      <c r="Q74" s="35">
        <f>IF(Q$1&gt;=Предпосылки!$G345,SUM($H49:Q49),0)</f>
        <v>1500</v>
      </c>
      <c r="R74" s="538">
        <f t="shared" si="6"/>
        <v>1500</v>
      </c>
      <c r="S74" s="579">
        <f t="shared" si="7"/>
        <v>0</v>
      </c>
    </row>
    <row r="75" spans="1:19" s="453" customFormat="1" ht="30" x14ac:dyDescent="0.25">
      <c r="A75" s="462" t="s">
        <v>177</v>
      </c>
      <c r="B75" s="463" t="str">
        <f t="shared" si="5"/>
        <v>Операционные расходы на инвест.стадии до получения выручки (рассчитываются автоматически)</v>
      </c>
      <c r="C75" s="464"/>
      <c r="D75" s="464"/>
      <c r="E75" s="464"/>
      <c r="F75" s="464"/>
      <c r="G75" s="246" t="s">
        <v>39</v>
      </c>
      <c r="H75" s="221">
        <f>IF(H$1&gt;=Предпосылки!$G346,SUM($H50:H50),0)</f>
        <v>3375.9960193150691</v>
      </c>
      <c r="I75" s="221">
        <f>IF(I$1&gt;=Предпосылки!$G346,SUM($H50:I50),0)</f>
        <v>3375.9960193150691</v>
      </c>
      <c r="J75" s="221">
        <f>IF(J$1&gt;=Предпосылки!$G346,SUM($H50:J50),0)</f>
        <v>3375.9960193150691</v>
      </c>
      <c r="K75" s="221">
        <f>IF(K$1&gt;=Предпосылки!$G346,SUM($H50:K50),0)</f>
        <v>3375.9960193150691</v>
      </c>
      <c r="L75" s="221">
        <f>IF(L$1&gt;=Предпосылки!$G346,SUM($H50:L50),0)</f>
        <v>3375.9960193150691</v>
      </c>
      <c r="M75" s="221">
        <f>IF(M$1&gt;=Предпосылки!$G346,SUM($H50:M50),0)</f>
        <v>3375.9960193150691</v>
      </c>
      <c r="N75" s="221">
        <f>IF(N$1&gt;=Предпосылки!$G346,SUM($H50:N50),0)</f>
        <v>3375.9960193150691</v>
      </c>
      <c r="O75" s="221">
        <f>IF(O$1&gt;=Предпосылки!$G346,SUM($H50:O50),0)</f>
        <v>3375.9960193150691</v>
      </c>
      <c r="P75" s="221">
        <f>IF(P$1&gt;=Предпосылки!$G346,SUM($H50:P50),0)</f>
        <v>3375.9960193150691</v>
      </c>
      <c r="Q75" s="221">
        <f>IF(Q$1&gt;=Предпосылки!$G346,SUM($H50:Q50),0)</f>
        <v>3375.9960193150691</v>
      </c>
      <c r="R75" s="538">
        <f t="shared" si="6"/>
        <v>3375.9960193150691</v>
      </c>
      <c r="S75" s="579">
        <f t="shared" si="7"/>
        <v>0</v>
      </c>
    </row>
    <row r="76" spans="1:19" x14ac:dyDescent="0.25">
      <c r="B76" s="14" t="s">
        <v>196</v>
      </c>
      <c r="C76" s="17"/>
      <c r="D76" s="17"/>
      <c r="E76" s="17"/>
      <c r="F76" s="17"/>
      <c r="G76" s="15" t="s">
        <v>39</v>
      </c>
      <c r="H76" s="220">
        <f>SUM(H56:H75)</f>
        <v>13555.996019315069</v>
      </c>
      <c r="I76" s="220">
        <f t="shared" ref="I76:Q76" si="8">SUM(I56:I75)</f>
        <v>198407.44601931507</v>
      </c>
      <c r="J76" s="220">
        <f t="shared" si="8"/>
        <v>200838.60551931508</v>
      </c>
      <c r="K76" s="220">
        <f t="shared" si="8"/>
        <v>200838.60551931508</v>
      </c>
      <c r="L76" s="220">
        <f t="shared" si="8"/>
        <v>200838.60551931508</v>
      </c>
      <c r="M76" s="220">
        <f t="shared" si="8"/>
        <v>200838.60551931508</v>
      </c>
      <c r="N76" s="220">
        <f t="shared" si="8"/>
        <v>200838.60551931508</v>
      </c>
      <c r="O76" s="220">
        <f t="shared" si="8"/>
        <v>200838.60551931508</v>
      </c>
      <c r="P76" s="220">
        <f t="shared" si="8"/>
        <v>200838.60551931508</v>
      </c>
      <c r="Q76" s="220">
        <f t="shared" si="8"/>
        <v>200838.60551931508</v>
      </c>
      <c r="S76" s="247"/>
    </row>
    <row r="77" spans="1:19" x14ac:dyDescent="0.25">
      <c r="G77" s="210"/>
      <c r="S77" s="247"/>
    </row>
    <row r="78" spans="1:19" x14ac:dyDescent="0.25">
      <c r="B78" s="162" t="s">
        <v>227</v>
      </c>
      <c r="C78" s="15" t="s">
        <v>58</v>
      </c>
      <c r="D78" s="15" t="s">
        <v>461</v>
      </c>
      <c r="E78" s="15" t="s">
        <v>462</v>
      </c>
      <c r="G78" s="210"/>
    </row>
    <row r="79" spans="1:19" x14ac:dyDescent="0.25">
      <c r="A79" s="198" t="s">
        <v>151</v>
      </c>
      <c r="B79" s="435" t="str">
        <f>B56</f>
        <v>Здания и сооружения</v>
      </c>
      <c r="C79" s="277">
        <f>Предпосылки!E327</f>
        <v>25</v>
      </c>
      <c r="D79" s="536">
        <f>Предпосылки!G327</f>
        <v>2023</v>
      </c>
      <c r="E79" s="277">
        <f>Предпосылки!H327</f>
        <v>1</v>
      </c>
      <c r="G79" s="210" t="s">
        <v>39</v>
      </c>
      <c r="H79" s="461">
        <f>IFERROR(IF(H56&gt;0,IF(SUM(G79:$G79)+H56/$C$79&gt;=H56,H56-SUM(G79:$G79),IF(H56&gt;0,IF(H1=$D$79,H56/$C$79*(4-$E$79)/4,H56/$C$79),0)),0),0)</f>
        <v>0</v>
      </c>
      <c r="I79" s="461">
        <f>IFERROR(IF(I56&gt;0,IF(SUM(H79:$H79)+I56/$C79&gt;=I56,I56-SUM(H79:$H79),IF(I56&gt;0,IF(I1=$D79,I56/$C79*(4-$E79)/4,I56/$C79),0)),0),0)</f>
        <v>2669.4255000000003</v>
      </c>
      <c r="J79" s="461">
        <f>IFERROR(IF(J56&gt;0,IF(SUM($H79:I79)+J56/$C79&gt;=J56,J56-SUM($H79:I79),IF(J56&gt;0,IF(J1=$D79,J56/$C79*(4-$E79)/4,J56/$C79),0)),0),0)</f>
        <v>3559.2340000000004</v>
      </c>
      <c r="K79" s="461">
        <f>IFERROR(IF(K56&gt;0,IF(SUM($H79:J79)+K56/$C79&gt;=K56,K56-SUM($H79:J79),IF(K56&gt;0,IF(K1=$D79,K56/$C79*(4-$E79)/4,K56/$C79),0)),0),0)</f>
        <v>3559.2340000000004</v>
      </c>
      <c r="L79" s="461">
        <f>IFERROR(IF(L56&gt;0,IF(SUM($H79:K79)+L56/$C79&gt;=L56,L56-SUM($H79:K79),IF(L56&gt;0,IF(L1=$D79,L56/$C79*(4-$E79)/4,L56/$C79),0)),0),0)</f>
        <v>3559.2340000000004</v>
      </c>
      <c r="M79" s="461">
        <f>IFERROR(IF(M56&gt;0,IF(SUM($H79:L79)+M56/$C79&gt;=M56,M56-SUM($H79:L79),IF(M56&gt;0,IF(M1=$D79,M56/$C79*(4-$E79)/4,M56/$C79),0)),0),0)</f>
        <v>3559.2340000000004</v>
      </c>
      <c r="N79" s="461">
        <f>IFERROR(IF(N56&gt;0,IF(SUM($H79:M79)+N56/$C79&gt;=N56,N56-SUM($H79:M79),IF(N56&gt;0,IF(N1=$D79,N56/$C79*(4-$E79)/4,N56/$C79),0)),0),0)</f>
        <v>3559.2340000000004</v>
      </c>
      <c r="O79" s="461">
        <f>IFERROR(IF(O56&gt;0,IF(SUM($H79:N79)+O56/$C79&gt;=O56,O56-SUM($H79:N79),IF(O56&gt;0,IF(O1=$D79,O56/$C79*(4-$E79)/4,O56/$C79),0)),0),0)</f>
        <v>3559.2340000000004</v>
      </c>
      <c r="P79" s="461">
        <f>IFERROR(IF(P56&gt;0,IF(SUM($H79:O79)+P56/$C79&gt;=P56,P56-SUM($H79:O79),IF(P56&gt;0,IF(P1=$D79,P56/$C79*(4-$E79)/4,P56/$C79),0)),0),0)</f>
        <v>3559.2340000000004</v>
      </c>
      <c r="Q79" s="461">
        <f>IFERROR(IF(Q56&gt;0,IF(SUM($H79:P79)+Q56/$C79&gt;=Q56,Q56-SUM($H79:P79),IF(Q56&gt;0,IF(Q1=$D79,Q56/$C79*(4-$E79)/4,Q56/$C79),0)),0),0)</f>
        <v>3559.2340000000004</v>
      </c>
      <c r="R79" s="537"/>
    </row>
    <row r="80" spans="1:19" x14ac:dyDescent="0.25">
      <c r="A80" s="198" t="s">
        <v>152</v>
      </c>
      <c r="B80" s="435" t="str">
        <f>B57</f>
        <v>Инженерные сети</v>
      </c>
      <c r="C80" s="277">
        <f>Предпосылки!E328</f>
        <v>10</v>
      </c>
      <c r="D80" s="536">
        <f>Предпосылки!G328</f>
        <v>2023</v>
      </c>
      <c r="E80" s="277">
        <f>Предпосылки!H328</f>
        <v>1</v>
      </c>
      <c r="G80" s="210" t="s">
        <v>39</v>
      </c>
      <c r="H80" s="461">
        <f>IFERROR(IF(H57&gt;0,IF(SUM(G80:$G80)+H57/$C$79&gt;=H57,H57-SUM(G80:$G80),IF(H57&gt;0,IF(H2=$D$79,H57/$C$79*(4-$E$79)/4,H57/$C$79),0)),0),0)</f>
        <v>0</v>
      </c>
      <c r="I80" s="461">
        <f>IFERROR(IF(I57&gt;0,IF(SUM(H80:$H80)+I57/$C80&gt;=I57,I57-SUM(H80:$H80),IF(I57&gt;0,IF(I2=$D80,I57/$C80*(4-$E80)/4,I57/$C80),0)),0),0)</f>
        <v>557.03899999999999</v>
      </c>
      <c r="J80" s="461">
        <f>IFERROR(IF(J57&gt;0,IF(SUM($H80:I80)+J57/$C80&gt;=J57,J57-SUM($H80:I80),IF(J57&gt;0,IF(J2=$D80,J57/$C80*(4-$E80)/4,J57/$C80),0)),0),0)</f>
        <v>557.03899999999999</v>
      </c>
      <c r="K80" s="461">
        <f>IFERROR(IF(K57&gt;0,IF(SUM($H80:J80)+K57/$C80&gt;=K57,K57-SUM($H80:J80),IF(K57&gt;0,IF(K2=$D80,K57/$C80*(4-$E80)/4,K57/$C80),0)),0),0)</f>
        <v>557.03899999999999</v>
      </c>
      <c r="L80" s="461">
        <f>IFERROR(IF(L57&gt;0,IF(SUM($H80:K80)+L57/$C80&gt;=L57,L57-SUM($H80:K80),IF(L57&gt;0,IF(L2=$D80,L57/$C80*(4-$E80)/4,L57/$C80),0)),0),0)</f>
        <v>557.03899999999999</v>
      </c>
      <c r="M80" s="461">
        <f>IFERROR(IF(M57&gt;0,IF(SUM($H80:L80)+M57/$C80&gt;=M57,M57-SUM($H80:L80),IF(M57&gt;0,IF(M2=$D80,M57/$C80*(4-$E80)/4,M57/$C80),0)),0),0)</f>
        <v>557.03899999999999</v>
      </c>
      <c r="N80" s="461">
        <f>IFERROR(IF(N57&gt;0,IF(SUM($H80:M80)+N57/$C80&gt;=N57,N57-SUM($H80:M80),IF(N57&gt;0,IF(N2=$D80,N57/$C80*(4-$E80)/4,N57/$C80),0)),0),0)</f>
        <v>557.03899999999999</v>
      </c>
      <c r="O80" s="461">
        <f>IFERROR(IF(O57&gt;0,IF(SUM($H80:N80)+O57/$C80&gt;=O57,O57-SUM($H80:N80),IF(O57&gt;0,IF(O2=$D80,O57/$C80*(4-$E80)/4,O57/$C80),0)),0),0)</f>
        <v>557.03899999999999</v>
      </c>
      <c r="P80" s="461">
        <f>IFERROR(IF(P57&gt;0,IF(SUM($H80:O80)+P57/$C80&gt;=P57,P57-SUM($H80:O80),IF(P57&gt;0,IF(P2=$D80,P57/$C80*(4-$E80)/4,P57/$C80),0)),0),0)</f>
        <v>557.03899999999999</v>
      </c>
      <c r="Q80" s="461">
        <f>IFERROR(IF(Q57&gt;0,IF(SUM($H80:P80)+Q57/$C80&gt;=Q57,Q57-SUM($H80:P80),IF(Q57&gt;0,IF(Q2=$D80,Q57/$C80*(4-$E80)/4,Q57/$C80),0)),0),0)</f>
        <v>557.03899999999999</v>
      </c>
      <c r="R80" s="537"/>
    </row>
    <row r="81" spans="1:18" x14ac:dyDescent="0.25">
      <c r="A81" s="198" t="s">
        <v>153</v>
      </c>
      <c r="B81" s="435" t="str">
        <f>B58</f>
        <v>Оборудование</v>
      </c>
      <c r="C81" s="277">
        <f>Предпосылки!E329</f>
        <v>10</v>
      </c>
      <c r="D81" s="536">
        <f>Предпосылки!G329</f>
        <v>2023</v>
      </c>
      <c r="E81" s="277">
        <f>Предпосылки!H329</f>
        <v>1</v>
      </c>
      <c r="G81" s="210" t="s">
        <v>39</v>
      </c>
      <c r="H81" s="461">
        <f>IFERROR(IF(H58&gt;0,IF(SUM(G81:$G81)+H58/$C$79&gt;=H58,H58-SUM(G81:$G81),IF(H58&gt;0,IF(H3=$D$79,H58/$C$79*(4-$E$79)/4,H58/$C$79),0)),0),0)</f>
        <v>0</v>
      </c>
      <c r="I81" s="461">
        <f>IFERROR(IF(I58&gt;0,IF(SUM(H81:$H81)+I58/$C81&gt;=I58,I58-SUM(H81:$H81),IF(I58&gt;0,IF(I3=$D81,I58/$C81*(4-$E81)/4,I58/$C81),0)),0),0)</f>
        <v>3473.085</v>
      </c>
      <c r="J81" s="461">
        <f>IFERROR(IF(J58&gt;0,IF(SUM($H81:I81)+J58/$C81&gt;=J58,J58-SUM($H81:I81),IF(J58&gt;0,IF(J3=$D81,J58/$C81*(4-$E81)/4,J58/$C81),0)),0),0)</f>
        <v>3716.2009499999999</v>
      </c>
      <c r="K81" s="461">
        <f>IFERROR(IF(K58&gt;0,IF(SUM($H81:J81)+K58/$C81&gt;=K58,K58-SUM($H81:J81),IF(K58&gt;0,IF(K3=$D81,K58/$C81*(4-$E81)/4,K58/$C81),0)),0),0)</f>
        <v>3716.2009499999999</v>
      </c>
      <c r="L81" s="461">
        <f>IFERROR(IF(L58&gt;0,IF(SUM($H81:K81)+L58/$C81&gt;=L58,L58-SUM($H81:K81),IF(L58&gt;0,IF(L3=$D81,L58/$C81*(4-$E81)/4,L58/$C81),0)),0),0)</f>
        <v>3716.2009499999999</v>
      </c>
      <c r="M81" s="461">
        <f>IFERROR(IF(M58&gt;0,IF(SUM($H81:L81)+M58/$C81&gt;=M58,M58-SUM($H81:L81),IF(M58&gt;0,IF(M3=$D81,M58/$C81*(4-$E81)/4,M58/$C81),0)),0),0)</f>
        <v>3716.2009499999999</v>
      </c>
      <c r="N81" s="461">
        <f>IFERROR(IF(N58&gt;0,IF(SUM($H81:M81)+N58/$C81&gt;=N58,N58-SUM($H81:M81),IF(N58&gt;0,IF(N3=$D81,N58/$C81*(4-$E81)/4,N58/$C81),0)),0),0)</f>
        <v>3716.2009499999999</v>
      </c>
      <c r="O81" s="461">
        <f>IFERROR(IF(O58&gt;0,IF(SUM($H81:N81)+O58/$C81&gt;=O58,O58-SUM($H81:N81),IF(O58&gt;0,IF(O3=$D81,O58/$C81*(4-$E81)/4,O58/$C81),0)),0),0)</f>
        <v>3716.2009499999999</v>
      </c>
      <c r="P81" s="461">
        <f>IFERROR(IF(P58&gt;0,IF(SUM($H81:O81)+P58/$C81&gt;=P58,P58-SUM($H81:O81),IF(P58&gt;0,IF(P3=$D81,P58/$C81*(4-$E81)/4,P58/$C81),0)),0),0)</f>
        <v>3716.2009499999999</v>
      </c>
      <c r="Q81" s="461">
        <f>IFERROR(IF(Q58&gt;0,IF(SUM($H81:P81)+Q58/$C81&gt;=Q58,Q58-SUM($H81:P81),IF(Q58&gt;0,IF(Q3=$D81,Q58/$C81*(4-$E81)/4,Q58/$C81),0)),0),0)</f>
        <v>3716.2009499999999</v>
      </c>
      <c r="R81" s="537"/>
    </row>
    <row r="82" spans="1:18" x14ac:dyDescent="0.25">
      <c r="A82" s="198" t="s">
        <v>154</v>
      </c>
      <c r="B82" s="435" t="str">
        <f t="shared" ref="B82:B98" si="9">B59</f>
        <v>Транспорт</v>
      </c>
      <c r="C82" s="277">
        <f>Предпосылки!E330</f>
        <v>5</v>
      </c>
      <c r="D82" s="536">
        <f>Предпосылки!G330</f>
        <v>2023</v>
      </c>
      <c r="E82" s="277">
        <f>Предпосылки!H330</f>
        <v>2</v>
      </c>
      <c r="G82" s="210" t="s">
        <v>39</v>
      </c>
      <c r="H82" s="461">
        <f>IFERROR(IF(H59&gt;0,IF(SUM(G82:$G82)+H59/$C$79&gt;=H59,H59-SUM(G82:$G82),IF(H59&gt;0,IF(H4=$D$79,H59/$C$79*(4-$E$79)/4,H59/$C$79),0)),0),0)</f>
        <v>0</v>
      </c>
      <c r="I82" s="461">
        <f>IFERROR(IF(I59&gt;0,IF(SUM(H82:$H82)+I59/$C82&gt;=I59,I59-SUM(H82:$H82),IF(I59&gt;0,IF(I4=$D82,I59/$C82*(4-$E82)/4,I59/$C82),0)),0),0)</f>
        <v>5788.4749999999995</v>
      </c>
      <c r="J82" s="461">
        <f>IFERROR(IF(J59&gt;0,IF(SUM($H82:I82)+J59/$C82&gt;=J59,J59-SUM($H82:I82),IF(J59&gt;0,IF(J4=$D82,J59/$C82*(4-$E82)/4,J59/$C82),0)),0),0)</f>
        <v>5788.4749999999995</v>
      </c>
      <c r="K82" s="461">
        <f>IFERROR(IF(K59&gt;0,IF(SUM($H82:J82)+K59/$C82&gt;=K59,K59-SUM($H82:J82),IF(K59&gt;0,IF(K4=$D82,K59/$C82*(4-$E82)/4,K59/$C82),0)),0),0)</f>
        <v>5788.4749999999995</v>
      </c>
      <c r="L82" s="461">
        <f>IFERROR(IF(L59&gt;0,IF(SUM($H82:K82)+L59/$C82&gt;=L59,L59-SUM($H82:K82),IF(L59&gt;0,IF(L4=$D82,L59/$C82*(4-$E82)/4,L59/$C82),0)),0),0)</f>
        <v>5788.4749999999995</v>
      </c>
      <c r="M82" s="461">
        <f>IFERROR(IF(M59&gt;0,IF(SUM($H82:L82)+M59/$C82&gt;=M59,M59-SUM($H82:L82),IF(M59&gt;0,IF(M4=$D82,M59/$C82*(4-$E82)/4,M59/$C82),0)),0),0)</f>
        <v>5788.4749999999985</v>
      </c>
      <c r="N82" s="461">
        <f>IFERROR(IF(N59&gt;0,IF(SUM($H82:M82)+N59/$C82&gt;=N59,N59-SUM($H82:M82),IF(N59&gt;0,IF(N4=$D82,N59/$C82*(4-$E82)/4,N59/$C82),0)),0),0)</f>
        <v>0</v>
      </c>
      <c r="O82" s="461">
        <f>IFERROR(IF(O59&gt;0,IF(SUM($H82:N82)+O59/$C82&gt;=O59,O59-SUM($H82:N82),IF(O59&gt;0,IF(O4=$D82,O59/$C82*(4-$E82)/4,O59/$C82),0)),0),0)</f>
        <v>0</v>
      </c>
      <c r="P82" s="461">
        <f>IFERROR(IF(P59&gt;0,IF(SUM($H82:O82)+P59/$C82&gt;=P59,P59-SUM($H82:O82),IF(P59&gt;0,IF(P4=$D82,P59/$C82*(4-$E82)/4,P59/$C82),0)),0),0)</f>
        <v>0</v>
      </c>
      <c r="Q82" s="461">
        <f>IFERROR(IF(Q59&gt;0,IF(SUM($H82:P82)+Q59/$C82&gt;=Q59,Q59-SUM($H82:P82),IF(Q59&gt;0,IF(Q4=$D82,Q59/$C82*(4-$E82)/4,Q59/$C82),0)),0),0)</f>
        <v>0</v>
      </c>
      <c r="R82" s="537"/>
    </row>
    <row r="83" spans="1:18" x14ac:dyDescent="0.25">
      <c r="A83" s="198" t="s">
        <v>155</v>
      </c>
      <c r="B83" s="435" t="str">
        <f t="shared" si="9"/>
        <v>Дороги</v>
      </c>
      <c r="C83" s="277">
        <f>Предпосылки!E331</f>
        <v>30</v>
      </c>
      <c r="D83" s="536">
        <f>Предпосылки!G331</f>
        <v>2022</v>
      </c>
      <c r="E83" s="277">
        <f>Предпосылки!H331</f>
        <v>3</v>
      </c>
      <c r="G83" s="210" t="s">
        <v>39</v>
      </c>
      <c r="H83" s="461">
        <f>IFERROR(IF(H60&gt;0,IF(SUM(G83:$G83)+H60/$C$79&gt;=H60,H60-SUM(G83:$G83),IF(H60&gt;0,IF(H5=$D$79,H60/$C$79*(4-$E$79)/4,H60/$C$79),0)),0),0)</f>
        <v>217</v>
      </c>
      <c r="I83" s="461">
        <f>IFERROR(IF(I60&gt;0,IF(SUM(H83:$H83)+I60/$C83&gt;=I60,I60-SUM(H83:$H83),IF(I60&gt;0,IF(I5=$D83,I60/$C83*(4-$E83)/4,I60/$C83),0)),0),0)</f>
        <v>952.62999999999988</v>
      </c>
      <c r="J83" s="461">
        <f>IFERROR(IF(J60&gt;0,IF(SUM($H83:I83)+J60/$C83&gt;=J60,J60-SUM($H83:I83),IF(J60&gt;0,IF(J5=$D83,J60/$C83*(4-$E83)/4,J60/$C83),0)),0),0)</f>
        <v>952.62999999999988</v>
      </c>
      <c r="K83" s="461">
        <f>IFERROR(IF(K60&gt;0,IF(SUM($H83:J83)+K60/$C83&gt;=K60,K60-SUM($H83:J83),IF(K60&gt;0,IF(K5=$D83,K60/$C83*(4-$E83)/4,K60/$C83),0)),0),0)</f>
        <v>952.62999999999988</v>
      </c>
      <c r="L83" s="461">
        <f>IFERROR(IF(L60&gt;0,IF(SUM($H83:K83)+L60/$C83&gt;=L60,L60-SUM($H83:K83),IF(L60&gt;0,IF(L5=$D83,L60/$C83*(4-$E83)/4,L60/$C83),0)),0),0)</f>
        <v>952.62999999999988</v>
      </c>
      <c r="M83" s="461">
        <f>IFERROR(IF(M60&gt;0,IF(SUM($H83:L83)+M60/$C83&gt;=M60,M60-SUM($H83:L83),IF(M60&gt;0,IF(M5=$D83,M60/$C83*(4-$E83)/4,M60/$C83),0)),0),0)</f>
        <v>952.62999999999988</v>
      </c>
      <c r="N83" s="461">
        <f>IFERROR(IF(N60&gt;0,IF(SUM($H83:M83)+N60/$C83&gt;=N60,N60-SUM($H83:M83),IF(N60&gt;0,IF(N5=$D83,N60/$C83*(4-$E83)/4,N60/$C83),0)),0),0)</f>
        <v>952.62999999999988</v>
      </c>
      <c r="O83" s="461">
        <f>IFERROR(IF(O60&gt;0,IF(SUM($H83:N83)+O60/$C83&gt;=O60,O60-SUM($H83:N83),IF(O60&gt;0,IF(O5=$D83,O60/$C83*(4-$E83)/4,O60/$C83),0)),0),0)</f>
        <v>952.62999999999988</v>
      </c>
      <c r="P83" s="461">
        <f>IFERROR(IF(P60&gt;0,IF(SUM($H83:O83)+P60/$C83&gt;=P60,P60-SUM($H83:O83),IF(P60&gt;0,IF(P5=$D83,P60/$C83*(4-$E83)/4,P60/$C83),0)),0),0)</f>
        <v>952.62999999999988</v>
      </c>
      <c r="Q83" s="461">
        <f>IFERROR(IF(Q60&gt;0,IF(SUM($H83:P83)+Q60/$C83&gt;=Q60,Q60-SUM($H83:P83),IF(Q60&gt;0,IF(Q5=$D83,Q60/$C83*(4-$E83)/4,Q60/$C83),0)),0),0)</f>
        <v>952.62999999999988</v>
      </c>
      <c r="R83" s="537"/>
    </row>
    <row r="84" spans="1:18" x14ac:dyDescent="0.25">
      <c r="A84" s="198" t="s">
        <v>156</v>
      </c>
      <c r="B84" s="435" t="str">
        <f t="shared" si="9"/>
        <v>HMA</v>
      </c>
      <c r="C84" s="277">
        <f>Предпосылки!E332</f>
        <v>5</v>
      </c>
      <c r="D84" s="536">
        <f>Предпосылки!G332</f>
        <v>2023</v>
      </c>
      <c r="E84" s="277">
        <f>Предпосылки!H332</f>
        <v>2</v>
      </c>
      <c r="G84" s="210" t="s">
        <v>39</v>
      </c>
      <c r="H84" s="461">
        <f>IFERROR(IF(H61&gt;0,IF(SUM(G84:$G84)+H61/$C$79&gt;=H61,H61-SUM(G84:$G84),IF(H61&gt;0,IF(H6=$D$79,H61/$C$79*(4-$E$79)/4,H61/$C$79),0)),0),0)</f>
        <v>0</v>
      </c>
      <c r="I84" s="461">
        <f>IFERROR(IF(I61&gt;0,IF(SUM(H84:$H84)+I61/$C84&gt;=I61,I61-SUM(H84:$H84),IF(I61&gt;0,IF(I6=$D84,I61/$C84*(4-$E84)/4,I61/$C84),0)),0),0)</f>
        <v>231.53899999999999</v>
      </c>
      <c r="J84" s="461">
        <f>IFERROR(IF(J61&gt;0,IF(SUM($H84:I84)+J61/$C84&gt;=J61,J61-SUM($H84:I84),IF(J61&gt;0,IF(J6=$D84,J61/$C84*(4-$E84)/4,J61/$C84),0)),0),0)</f>
        <v>231.53899999999999</v>
      </c>
      <c r="K84" s="461">
        <f>IFERROR(IF(K61&gt;0,IF(SUM($H84:J84)+K61/$C84&gt;=K61,K61-SUM($H84:J84),IF(K61&gt;0,IF(K6=$D84,K61/$C84*(4-$E84)/4,K61/$C84),0)),0),0)</f>
        <v>231.53899999999999</v>
      </c>
      <c r="L84" s="461">
        <f>IFERROR(IF(L61&gt;0,IF(SUM($H84:K84)+L61/$C84&gt;=L61,L61-SUM($H84:K84),IF(L61&gt;0,IF(L6=$D84,L61/$C84*(4-$E84)/4,L61/$C84),0)),0),0)</f>
        <v>231.53899999999999</v>
      </c>
      <c r="M84" s="461">
        <f>IFERROR(IF(M61&gt;0,IF(SUM($H84:L84)+M61/$C84&gt;=M61,M61-SUM($H84:L84),IF(M61&gt;0,IF(M6=$D84,M61/$C84*(4-$E84)/4,M61/$C84),0)),0),0)</f>
        <v>231.53899999999999</v>
      </c>
      <c r="N84" s="461">
        <f>IFERROR(IF(N61&gt;0,IF(SUM($H84:M84)+N61/$C84&gt;=N61,N61-SUM($H84:M84),IF(N61&gt;0,IF(N6=$D84,N61/$C84*(4-$E84)/4,N61/$C84),0)),0),0)</f>
        <v>0</v>
      </c>
      <c r="O84" s="461">
        <f>IFERROR(IF(O61&gt;0,IF(SUM($H84:N84)+O61/$C84&gt;=O61,O61-SUM($H84:N84),IF(O61&gt;0,IF(O6=$D84,O61/$C84*(4-$E84)/4,O61/$C84),0)),0),0)</f>
        <v>0</v>
      </c>
      <c r="P84" s="461">
        <f>IFERROR(IF(P61&gt;0,IF(SUM($H84:O84)+P61/$C84&gt;=P61,P61-SUM($H84:O84),IF(P61&gt;0,IF(P6=$D84,P61/$C84*(4-$E84)/4,P61/$C84),0)),0),0)</f>
        <v>0</v>
      </c>
      <c r="Q84" s="461">
        <f>IFERROR(IF(Q61&gt;0,IF(SUM($H84:P84)+Q61/$C84&gt;=Q61,Q61-SUM($H84:P84),IF(Q61&gt;0,IF(Q6=$D84,Q61/$C84*(4-$E84)/4,Q61/$C84),0)),0),0)</f>
        <v>0</v>
      </c>
      <c r="R84" s="537"/>
    </row>
    <row r="85" spans="1:18" x14ac:dyDescent="0.25">
      <c r="A85" s="198" t="s">
        <v>157</v>
      </c>
      <c r="B85" s="435" t="str">
        <f t="shared" si="9"/>
        <v>Подготовительные расходы (ПИР, СМР)</v>
      </c>
      <c r="C85" s="277">
        <f>Предпосылки!E333</f>
        <v>0</v>
      </c>
      <c r="D85" s="536">
        <f>Предпосылки!G333</f>
        <v>0</v>
      </c>
      <c r="E85" s="277">
        <f>Предпосылки!H333</f>
        <v>2</v>
      </c>
      <c r="G85" s="210" t="s">
        <v>39</v>
      </c>
      <c r="H85" s="461">
        <f>IFERROR(IF(H62&gt;0,IF(SUM(G85:$G85)+H62/$C$79&gt;=H62,H62-SUM(G85:$G85),IF(H62&gt;0,IF(H7=$D$79,H62/$C$79*(4-$E$79)/4,H62/$C$79),0)),0),0)</f>
        <v>130.19999999999999</v>
      </c>
      <c r="I85" s="461">
        <f>IFERROR(IF(I62&gt;0,IF(SUM(H85:$H85)+I62/$C85&gt;=I62,I62-SUM(H85:$H85),IF(I62&gt;0,IF(I7=$D85,I62/$C85*(4-$E85)/4,I62/$C85),0)),0),0)</f>
        <v>0</v>
      </c>
      <c r="J85" s="461">
        <f>IFERROR(IF(J62&gt;0,IF(SUM($H85:I85)+J62/$C85&gt;=J62,J62-SUM($H85:I85),IF(J62&gt;0,IF(J7=$D85,J62/$C85*(4-$E85)/4,J62/$C85),0)),0),0)</f>
        <v>0</v>
      </c>
      <c r="K85" s="461">
        <f>IFERROR(IF(K62&gt;0,IF(SUM($H85:J85)+K62/$C85&gt;=K62,K62-SUM($H85:J85),IF(K62&gt;0,IF(K7=$D85,K62/$C85*(4-$E85)/4,K62/$C85),0)),0),0)</f>
        <v>0</v>
      </c>
      <c r="L85" s="461">
        <f>IFERROR(IF(L62&gt;0,IF(SUM($H85:K85)+L62/$C85&gt;=L62,L62-SUM($H85:K85),IF(L62&gt;0,IF(L7=$D85,L62/$C85*(4-$E85)/4,L62/$C85),0)),0),0)</f>
        <v>0</v>
      </c>
      <c r="M85" s="461">
        <f>IFERROR(IF(M62&gt;0,IF(SUM($H85:L85)+M62/$C85&gt;=M62,M62-SUM($H85:L85),IF(M62&gt;0,IF(M7=$D85,M62/$C85*(4-$E85)/4,M62/$C85),0)),0),0)</f>
        <v>0</v>
      </c>
      <c r="N85" s="461">
        <f>IFERROR(IF(N62&gt;0,IF(SUM($H85:M85)+N62/$C85&gt;=N62,N62-SUM($H85:M85),IF(N62&gt;0,IF(N7=$D85,N62/$C85*(4-$E85)/4,N62/$C85),0)),0),0)</f>
        <v>0</v>
      </c>
      <c r="O85" s="461">
        <f>IFERROR(IF(O62&gt;0,IF(SUM($H85:N85)+O62/$C85&gt;=O62,O62-SUM($H85:N85),IF(O62&gt;0,IF(O7=$D85,O62/$C85*(4-$E85)/4,O62/$C85),0)),0),0)</f>
        <v>0</v>
      </c>
      <c r="P85" s="461">
        <f>IFERROR(IF(P62&gt;0,IF(SUM($H85:O85)+P62/$C85&gt;=P62,P62-SUM($H85:O85),IF(P62&gt;0,IF(P7=$D85,P62/$C85*(4-$E85)/4,P62/$C85),0)),0),0)</f>
        <v>0</v>
      </c>
      <c r="Q85" s="461">
        <f>IFERROR(IF(Q62&gt;0,IF(SUM($H85:P85)+Q62/$C85&gt;=Q62,Q62-SUM($H85:P85),IF(Q62&gt;0,IF(Q7=$D85,Q62/$C85*(4-$E85)/4,Q62/$C85),0)),0),0)</f>
        <v>0</v>
      </c>
      <c r="R85" s="537"/>
    </row>
    <row r="86" spans="1:18" x14ac:dyDescent="0.25">
      <c r="A86" s="198" t="s">
        <v>158</v>
      </c>
      <c r="B86" s="435">
        <f t="shared" si="9"/>
        <v>0</v>
      </c>
      <c r="C86" s="277">
        <f>Предпосылки!E334</f>
        <v>0</v>
      </c>
      <c r="D86" s="277">
        <f>Предпосылки!G334</f>
        <v>0</v>
      </c>
      <c r="E86" s="277">
        <f>Предпосылки!H334</f>
        <v>0</v>
      </c>
      <c r="G86" s="210" t="s">
        <v>39</v>
      </c>
      <c r="H86" s="461">
        <f>IFERROR(IF(H63&gt;0,IF(SUM(G86:$G86)+H63/$C$79&gt;=H63,H63-SUM(G86:$G86),IF(H63&gt;0,IF(H8=$D$79,H63/$C$79*(4-$E$79)/4,H63/$C$79),0)),0),0)</f>
        <v>0</v>
      </c>
      <c r="I86" s="461">
        <f>IFERROR(IF(I63&gt;0,IF(SUM(H86:$H86)+I63/$C86&gt;=I63,I63-SUM(H86:$H86),IF(I63&gt;0,IF(I8=$D86,I63/$C86*(4-$E86)/4,I63/$C86),0)),0),0)</f>
        <v>0</v>
      </c>
      <c r="J86" s="461">
        <f>IFERROR(IF(J63&gt;0,IF(SUM($H86:I86)+J63/$C86&gt;=J63,J63-SUM($H86:I86),IF(J63&gt;0,IF(J8=$D86,J63/$C86*(4-$E86)/4,J63/$C86),0)),0),0)</f>
        <v>0</v>
      </c>
      <c r="K86" s="461">
        <f>IFERROR(IF(K63&gt;0,IF(SUM($H86:J86)+K63/$C86&gt;=K63,K63-SUM($H86:J86),IF(K63&gt;0,IF(K8=$D86,K63/$C86*(4-$E86)/4,K63/$C86),0)),0),0)</f>
        <v>0</v>
      </c>
      <c r="L86" s="461">
        <f>IFERROR(IF(L63&gt;0,IF(SUM($H86:K86)+L63/$C86&gt;=L63,L63-SUM($H86:K86),IF(L63&gt;0,IF(L8=$D86,L63/$C86*(4-$E86)/4,L63/$C86),0)),0),0)</f>
        <v>0</v>
      </c>
      <c r="M86" s="461">
        <f>IFERROR(IF(M63&gt;0,IF(SUM($H86:L86)+M63/$C86&gt;=M63,M63-SUM($H86:L86),IF(M63&gt;0,IF(M8=$D86,M63/$C86*(4-$E86)/4,M63/$C86),0)),0),0)</f>
        <v>0</v>
      </c>
      <c r="N86" s="461">
        <f>IFERROR(IF(N63&gt;0,IF(SUM($H86:M86)+N63/$C86&gt;=N63,N63-SUM($H86:M86),IF(N63&gt;0,IF(N8=$D86,N63/$C86*(4-$E86)/4,N63/$C86),0)),0),0)</f>
        <v>0</v>
      </c>
      <c r="O86" s="461">
        <f>IFERROR(IF(O63&gt;0,IF(SUM($H86:N86)+O63/$C86&gt;=O63,O63-SUM($H86:N86),IF(O63&gt;0,IF(O8=$D86,O63/$C86*(4-$E86)/4,O63/$C86),0)),0),0)</f>
        <v>0</v>
      </c>
      <c r="P86" s="461">
        <f>IFERROR(IF(P63&gt;0,IF(SUM($H86:O86)+P63/$C86&gt;=P63,P63-SUM($H86:O86),IF(P63&gt;0,IF(P8=$D86,P63/$C86*(4-$E86)/4,P63/$C86),0)),0),0)</f>
        <v>0</v>
      </c>
      <c r="Q86" s="461">
        <f>IFERROR(IF(Q63&gt;0,IF(SUM($H86:P86)+Q63/$C86&gt;=Q63,Q63-SUM($H86:P86),IF(Q63&gt;0,IF(Q8=$D86,Q63/$C86*(4-$E86)/4,Q63/$C86),0)),0),0)</f>
        <v>0</v>
      </c>
      <c r="R86" s="537"/>
    </row>
    <row r="87" spans="1:18" x14ac:dyDescent="0.25">
      <c r="A87" s="198" t="s">
        <v>159</v>
      </c>
      <c r="B87" s="435">
        <f t="shared" si="9"/>
        <v>0</v>
      </c>
      <c r="C87" s="277">
        <f>Предпосылки!E335</f>
        <v>0</v>
      </c>
      <c r="D87" s="277">
        <f>Предпосылки!G335</f>
        <v>0</v>
      </c>
      <c r="E87" s="277">
        <f>Предпосылки!H335</f>
        <v>0</v>
      </c>
      <c r="G87" s="210" t="s">
        <v>39</v>
      </c>
      <c r="H87" s="461">
        <f>IFERROR(IF(H64&gt;0,IF(SUM(G87:$G87)+H64/$C$79&gt;=H64,H64-SUM(G87:$G87),IF(H64&gt;0,IF(H9=$D$79,H64/$C$79*(4-$E$79)/4,H64/$C$79),0)),0),0)</f>
        <v>0</v>
      </c>
      <c r="I87" s="461">
        <f>IFERROR(IF(I64&gt;0,IF(SUM(H87:$H87)+I64/$C87&gt;=I64,I64-SUM(H87:$H87),IF(I64&gt;0,IF(I9=$D87,I64/$C87*(4-$E87)/4,I64/$C87),0)),0),0)</f>
        <v>0</v>
      </c>
      <c r="J87" s="461">
        <f>IFERROR(IF(J64&gt;0,IF(SUM($H87:I87)+J64/$C87&gt;=J64,J64-SUM($H87:I87),IF(J64&gt;0,IF(J9=$D87,J64/$C87*(4-$E87)/4,J64/$C87),0)),0),0)</f>
        <v>0</v>
      </c>
      <c r="K87" s="461">
        <f>IFERROR(IF(K64&gt;0,IF(SUM($H87:J87)+K64/$C87&gt;=K64,K64-SUM($H87:J87),IF(K64&gt;0,IF(K9=$D87,K64/$C87*(4-$E87)/4,K64/$C87),0)),0),0)</f>
        <v>0</v>
      </c>
      <c r="L87" s="461">
        <f>IFERROR(IF(L64&gt;0,IF(SUM($H87:K87)+L64/$C87&gt;=L64,L64-SUM($H87:K87),IF(L64&gt;0,IF(L9=$D87,L64/$C87*(4-$E87)/4,L64/$C87),0)),0),0)</f>
        <v>0</v>
      </c>
      <c r="M87" s="461">
        <f>IFERROR(IF(M64&gt;0,IF(SUM($H87:L87)+M64/$C87&gt;=M64,M64-SUM($H87:L87),IF(M64&gt;0,IF(M9=$D87,M64/$C87*(4-$E87)/4,M64/$C87),0)),0),0)</f>
        <v>0</v>
      </c>
      <c r="N87" s="461">
        <f>IFERROR(IF(N64&gt;0,IF(SUM($H87:M87)+N64/$C87&gt;=N64,N64-SUM($H87:M87),IF(N64&gt;0,IF(N9=$D87,N64/$C87*(4-$E87)/4,N64/$C87),0)),0),0)</f>
        <v>0</v>
      </c>
      <c r="O87" s="461">
        <f>IFERROR(IF(O64&gt;0,IF(SUM($H87:N87)+O64/$C87&gt;=O64,O64-SUM($H87:N87),IF(O64&gt;0,IF(O9=$D87,O64/$C87*(4-$E87)/4,O64/$C87),0)),0),0)</f>
        <v>0</v>
      </c>
      <c r="P87" s="461">
        <f>IFERROR(IF(P64&gt;0,IF(SUM($H87:O87)+P64/$C87&gt;=P64,P64-SUM($H87:O87),IF(P64&gt;0,IF(P9=$D87,P64/$C87*(4-$E87)/4,P64/$C87),0)),0),0)</f>
        <v>0</v>
      </c>
      <c r="Q87" s="461">
        <f>IFERROR(IF(Q64&gt;0,IF(SUM($H87:P87)+Q64/$C87&gt;=Q64,Q64-SUM($H87:P87),IF(Q64&gt;0,IF(Q9=$D87,Q64/$C87*(4-$E87)/4,Q64/$C87),0)),0),0)</f>
        <v>0</v>
      </c>
      <c r="R87" s="537"/>
    </row>
    <row r="88" spans="1:18" x14ac:dyDescent="0.25">
      <c r="A88" s="198" t="s">
        <v>160</v>
      </c>
      <c r="B88" s="435">
        <f t="shared" si="9"/>
        <v>0</v>
      </c>
      <c r="C88" s="277">
        <f>Предпосылки!E336</f>
        <v>0</v>
      </c>
      <c r="D88" s="277">
        <f>Предпосылки!G336</f>
        <v>0</v>
      </c>
      <c r="E88" s="277">
        <f>Предпосылки!H336</f>
        <v>0</v>
      </c>
      <c r="G88" s="210" t="s">
        <v>39</v>
      </c>
      <c r="H88" s="461">
        <f>IFERROR(IF(H65&gt;0,IF(SUM(G88:$G88)+H65/$C$79&gt;=H65,H65-SUM(G88:$G88),IF(H65&gt;0,IF(H10=$D$79,H65/$C$79*(4-$E$79)/4,H65/$C$79),0)),0),0)</f>
        <v>0</v>
      </c>
      <c r="I88" s="461">
        <f>IFERROR(IF(I65&gt;0,IF(SUM(H88:$H88)+I65/$C88&gt;=I65,I65-SUM(H88:$H88),IF(I65&gt;0,IF(I10=$D88,I65/$C88*(4-$E88)/4,I65/$C88),0)),0),0)</f>
        <v>0</v>
      </c>
      <c r="J88" s="461">
        <f>IFERROR(IF(J65&gt;0,IF(SUM($H88:I88)+J65/$C88&gt;=J65,J65-SUM($H88:I88),IF(J65&gt;0,IF(J10=$D88,J65/$C88*(4-$E88)/4,J65/$C88),0)),0),0)</f>
        <v>0</v>
      </c>
      <c r="K88" s="461">
        <f>IFERROR(IF(K65&gt;0,IF(SUM($H88:J88)+K65/$C88&gt;=K65,K65-SUM($H88:J88),IF(K65&gt;0,IF(K10=$D88,K65/$C88*(4-$E88)/4,K65/$C88),0)),0),0)</f>
        <v>0</v>
      </c>
      <c r="L88" s="461">
        <f>IFERROR(IF(L65&gt;0,IF(SUM($H88:K88)+L65/$C88&gt;=L65,L65-SUM($H88:K88),IF(L65&gt;0,IF(L10=$D88,L65/$C88*(4-$E88)/4,L65/$C88),0)),0),0)</f>
        <v>0</v>
      </c>
      <c r="M88" s="461">
        <f>IFERROR(IF(M65&gt;0,IF(SUM($H88:L88)+M65/$C88&gt;=M65,M65-SUM($H88:L88),IF(M65&gt;0,IF(M10=$D88,M65/$C88*(4-$E88)/4,M65/$C88),0)),0),0)</f>
        <v>0</v>
      </c>
      <c r="N88" s="461">
        <f>IFERROR(IF(N65&gt;0,IF(SUM($H88:M88)+N65/$C88&gt;=N65,N65-SUM($H88:M88),IF(N65&gt;0,IF(N10=$D88,N65/$C88*(4-$E88)/4,N65/$C88),0)),0),0)</f>
        <v>0</v>
      </c>
      <c r="O88" s="461">
        <f>IFERROR(IF(O65&gt;0,IF(SUM($H88:N88)+O65/$C88&gt;=O65,O65-SUM($H88:N88),IF(O65&gt;0,IF(O10=$D88,O65/$C88*(4-$E88)/4,O65/$C88),0)),0),0)</f>
        <v>0</v>
      </c>
      <c r="P88" s="461">
        <f>IFERROR(IF(P65&gt;0,IF(SUM($H88:O88)+P65/$C88&gt;=P65,P65-SUM($H88:O88),IF(P65&gt;0,IF(P10=$D88,P65/$C88*(4-$E88)/4,P65/$C88),0)),0),0)</f>
        <v>0</v>
      </c>
      <c r="Q88" s="461">
        <f>IFERROR(IF(Q65&gt;0,IF(SUM($H88:P88)+Q65/$C88&gt;=Q65,Q65-SUM($H88:P88),IF(Q65&gt;0,IF(Q10=$D88,Q65/$C88*(4-$E88)/4,Q65/$C88),0)),0),0)</f>
        <v>0</v>
      </c>
      <c r="R88" s="537"/>
    </row>
    <row r="89" spans="1:18" x14ac:dyDescent="0.25">
      <c r="A89" s="198" t="s">
        <v>168</v>
      </c>
      <c r="B89" s="435">
        <f t="shared" si="9"/>
        <v>0</v>
      </c>
      <c r="C89" s="277">
        <f>Предпосылки!E337</f>
        <v>0</v>
      </c>
      <c r="D89" s="277">
        <f>Предпосылки!G337</f>
        <v>0</v>
      </c>
      <c r="E89" s="277">
        <f>Предпосылки!H337</f>
        <v>0</v>
      </c>
      <c r="G89" s="210" t="s">
        <v>39</v>
      </c>
      <c r="H89" s="461">
        <f>IFERROR(IF(H66&gt;0,IF(SUM(G89:$G89)+H66/$C$79&gt;=H66,H66-SUM(G89:$G89),IF(H66&gt;0,IF(H11=$D$79,H66/$C$79*(4-$E$79)/4,H66/$C$79),0)),0),0)</f>
        <v>0</v>
      </c>
      <c r="I89" s="461">
        <f>IFERROR(IF(I66&gt;0,IF(SUM(H89:$H89)+I66/$C89&gt;=I66,I66-SUM(H89:$H89),IF(I66&gt;0,IF(I11=$D89,I66/$C89*(4-$E89)/4,I66/$C89),0)),0),0)</f>
        <v>0</v>
      </c>
      <c r="J89" s="461">
        <f>IFERROR(IF(J66&gt;0,IF(SUM($H89:I89)+J66/$C89&gt;=J66,J66-SUM($H89:I89),IF(J66&gt;0,IF(J11=$D89,J66/$C89*(4-$E89)/4,J66/$C89),0)),0),0)</f>
        <v>0</v>
      </c>
      <c r="K89" s="461">
        <f>IFERROR(IF(K66&gt;0,IF(SUM($H89:J89)+K66/$C89&gt;=K66,K66-SUM($H89:J89),IF(K66&gt;0,IF(K11=$D89,K66/$C89*(4-$E89)/4,K66/$C89),0)),0),0)</f>
        <v>0</v>
      </c>
      <c r="L89" s="461">
        <f>IFERROR(IF(L66&gt;0,IF(SUM($H89:K89)+L66/$C89&gt;=L66,L66-SUM($H89:K89),IF(L66&gt;0,IF(L11=$D89,L66/$C89*(4-$E89)/4,L66/$C89),0)),0),0)</f>
        <v>0</v>
      </c>
      <c r="M89" s="461">
        <f>IFERROR(IF(M66&gt;0,IF(SUM($H89:L89)+M66/$C89&gt;=M66,M66-SUM($H89:L89),IF(M66&gt;0,IF(M11=$D89,M66/$C89*(4-$E89)/4,M66/$C89),0)),0),0)</f>
        <v>0</v>
      </c>
      <c r="N89" s="461">
        <f>IFERROR(IF(N66&gt;0,IF(SUM($H89:M89)+N66/$C89&gt;=N66,N66-SUM($H89:M89),IF(N66&gt;0,IF(N11=$D89,N66/$C89*(4-$E89)/4,N66/$C89),0)),0),0)</f>
        <v>0</v>
      </c>
      <c r="O89" s="461">
        <f>IFERROR(IF(O66&gt;0,IF(SUM($H89:N89)+O66/$C89&gt;=O66,O66-SUM($H89:N89),IF(O66&gt;0,IF(O11=$D89,O66/$C89*(4-$E89)/4,O66/$C89),0)),0),0)</f>
        <v>0</v>
      </c>
      <c r="P89" s="461">
        <f>IFERROR(IF(P66&gt;0,IF(SUM($H89:O89)+P66/$C89&gt;=P66,P66-SUM($H89:O89),IF(P66&gt;0,IF(P11=$D89,P66/$C89*(4-$E89)/4,P66/$C89),0)),0),0)</f>
        <v>0</v>
      </c>
      <c r="Q89" s="461">
        <f>IFERROR(IF(Q66&gt;0,IF(SUM($H89:P89)+Q66/$C89&gt;=Q66,Q66-SUM($H89:P89),IF(Q66&gt;0,IF(Q11=$D89,Q66/$C89*(4-$E89)/4,Q66/$C89),0)),0),0)</f>
        <v>0</v>
      </c>
      <c r="R89" s="537"/>
    </row>
    <row r="90" spans="1:18" x14ac:dyDescent="0.25">
      <c r="A90" s="198" t="s">
        <v>169</v>
      </c>
      <c r="B90" s="435">
        <f t="shared" si="9"/>
        <v>0</v>
      </c>
      <c r="C90" s="277">
        <f>Предпосылки!E338</f>
        <v>0</v>
      </c>
      <c r="D90" s="277">
        <f>Предпосылки!G338</f>
        <v>0</v>
      </c>
      <c r="E90" s="277">
        <f>Предпосылки!H338</f>
        <v>0</v>
      </c>
      <c r="G90" s="210" t="s">
        <v>39</v>
      </c>
      <c r="H90" s="461">
        <f>IFERROR(IF(H67&gt;0,IF(SUM(G90:$G90)+H67/$C$79&gt;=H67,H67-SUM(G90:$G90),IF(H67&gt;0,IF(H12=$D$79,H67/$C$79*(4-$E$79)/4,H67/$C$79),0)),0),0)</f>
        <v>0</v>
      </c>
      <c r="I90" s="461">
        <f>IFERROR(IF(I67&gt;0,IF(SUM(H90:$H90)+I67/$C90&gt;=I67,I67-SUM(H90:$H90),IF(I67&gt;0,IF(I12=$D90,I67/$C90*(4-$E90)/4,I67/$C90),0)),0),0)</f>
        <v>0</v>
      </c>
      <c r="J90" s="461">
        <f>IFERROR(IF(J67&gt;0,IF(SUM($H90:I90)+J67/$C90&gt;=J67,J67-SUM($H90:I90),IF(J67&gt;0,IF(J12=$D90,J67/$C90*(4-$E90)/4,J67/$C90),0)),0),0)</f>
        <v>0</v>
      </c>
      <c r="K90" s="461">
        <f>IFERROR(IF(K67&gt;0,IF(SUM($H90:J90)+K67/$C90&gt;=K67,K67-SUM($H90:J90),IF(K67&gt;0,IF(K12=$D90,K67/$C90*(4-$E90)/4,K67/$C90),0)),0),0)</f>
        <v>0</v>
      </c>
      <c r="L90" s="461">
        <f>IFERROR(IF(L67&gt;0,IF(SUM($H90:K90)+L67/$C90&gt;=L67,L67-SUM($H90:K90),IF(L67&gt;0,IF(L12=$D90,L67/$C90*(4-$E90)/4,L67/$C90),0)),0),0)</f>
        <v>0</v>
      </c>
      <c r="M90" s="461">
        <f>IFERROR(IF(M67&gt;0,IF(SUM($H90:L90)+M67/$C90&gt;=M67,M67-SUM($H90:L90),IF(M67&gt;0,IF(M12=$D90,M67/$C90*(4-$E90)/4,M67/$C90),0)),0),0)</f>
        <v>0</v>
      </c>
      <c r="N90" s="461">
        <f>IFERROR(IF(N67&gt;0,IF(SUM($H90:M90)+N67/$C90&gt;=N67,N67-SUM($H90:M90),IF(N67&gt;0,IF(N12=$D90,N67/$C90*(4-$E90)/4,N67/$C90),0)),0),0)</f>
        <v>0</v>
      </c>
      <c r="O90" s="461">
        <f>IFERROR(IF(O67&gt;0,IF(SUM($H90:N90)+O67/$C90&gt;=O67,O67-SUM($H90:N90),IF(O67&gt;0,IF(O12=$D90,O67/$C90*(4-$E90)/4,O67/$C90),0)),0),0)</f>
        <v>0</v>
      </c>
      <c r="P90" s="461">
        <f>IFERROR(IF(P67&gt;0,IF(SUM($H90:O90)+P67/$C90&gt;=P67,P67-SUM($H90:O90),IF(P67&gt;0,IF(P12=$D90,P67/$C90*(4-$E90)/4,P67/$C90),0)),0),0)</f>
        <v>0</v>
      </c>
      <c r="Q90" s="461">
        <f>IFERROR(IF(Q67&gt;0,IF(SUM($H90:P90)+Q67/$C90&gt;=Q67,Q67-SUM($H90:P90),IF(Q67&gt;0,IF(Q12=$D90,Q67/$C90*(4-$E90)/4,Q67/$C90),0)),0),0)</f>
        <v>0</v>
      </c>
      <c r="R90" s="537"/>
    </row>
    <row r="91" spans="1:18" x14ac:dyDescent="0.25">
      <c r="A91" s="198" t="s">
        <v>170</v>
      </c>
      <c r="B91" s="435">
        <f t="shared" si="9"/>
        <v>0</v>
      </c>
      <c r="C91" s="277">
        <f>Предпосылки!E339</f>
        <v>0</v>
      </c>
      <c r="D91" s="277">
        <f>Предпосылки!G339</f>
        <v>0</v>
      </c>
      <c r="E91" s="277">
        <f>Предпосылки!H339</f>
        <v>0</v>
      </c>
      <c r="G91" s="210" t="s">
        <v>39</v>
      </c>
      <c r="H91" s="461">
        <f>IFERROR(IF(H68&gt;0,IF(SUM(G91:$G91)+H68/$C$79&gt;=H68,H68-SUM(G91:$G91),IF(H68&gt;0,IF(H13=$D$79,H68/$C$79*(4-$E$79)/4,H68/$C$79),0)),0),0)</f>
        <v>0</v>
      </c>
      <c r="I91" s="461">
        <f>IFERROR(IF(I68&gt;0,IF(SUM(H91:$H91)+I68/$C91&gt;=I68,I68-SUM(H91:$H91),IF(I68&gt;0,IF(I13=$D91,I68/$C91*(4-$E91)/4,I68/$C91),0)),0),0)</f>
        <v>0</v>
      </c>
      <c r="J91" s="461">
        <f>IFERROR(IF(J68&gt;0,IF(SUM($H91:I91)+J68/$C91&gt;=J68,J68-SUM($H91:I91),IF(J68&gt;0,IF(J13=$D91,J68/$C91*(4-$E91)/4,J68/$C91),0)),0),0)</f>
        <v>0</v>
      </c>
      <c r="K91" s="461">
        <f>IFERROR(IF(K68&gt;0,IF(SUM($H91:J91)+K68/$C91&gt;=K68,K68-SUM($H91:J91),IF(K68&gt;0,IF(K13=$D91,K68/$C91*(4-$E91)/4,K68/$C91),0)),0),0)</f>
        <v>0</v>
      </c>
      <c r="L91" s="461">
        <f>IFERROR(IF(L68&gt;0,IF(SUM($H91:K91)+L68/$C91&gt;=L68,L68-SUM($H91:K91),IF(L68&gt;0,IF(L13=$D91,L68/$C91*(4-$E91)/4,L68/$C91),0)),0),0)</f>
        <v>0</v>
      </c>
      <c r="M91" s="461">
        <f>IFERROR(IF(M68&gt;0,IF(SUM($H91:L91)+M68/$C91&gt;=M68,M68-SUM($H91:L91),IF(M68&gt;0,IF(M13=$D91,M68/$C91*(4-$E91)/4,M68/$C91),0)),0),0)</f>
        <v>0</v>
      </c>
      <c r="N91" s="461">
        <f>IFERROR(IF(N68&gt;0,IF(SUM($H91:M91)+N68/$C91&gt;=N68,N68-SUM($H91:M91),IF(N68&gt;0,IF(N13=$D91,N68/$C91*(4-$E91)/4,N68/$C91),0)),0),0)</f>
        <v>0</v>
      </c>
      <c r="O91" s="461">
        <f>IFERROR(IF(O68&gt;0,IF(SUM($H91:N91)+O68/$C91&gt;=O68,O68-SUM($H91:N91),IF(O68&gt;0,IF(O13=$D91,O68/$C91*(4-$E91)/4,O68/$C91),0)),0),0)</f>
        <v>0</v>
      </c>
      <c r="P91" s="461">
        <f>IFERROR(IF(P68&gt;0,IF(SUM($H91:O91)+P68/$C91&gt;=P68,P68-SUM($H91:O91),IF(P68&gt;0,IF(P13=$D91,P68/$C91*(4-$E91)/4,P68/$C91),0)),0),0)</f>
        <v>0</v>
      </c>
      <c r="Q91" s="461">
        <f>IFERROR(IF(Q68&gt;0,IF(SUM($H91:P91)+Q68/$C91&gt;=Q68,Q68-SUM($H91:P91),IF(Q68&gt;0,IF(Q13=$D91,Q68/$C91*(4-$E91)/4,Q68/$C91),0)),0),0)</f>
        <v>0</v>
      </c>
      <c r="R91" s="537"/>
    </row>
    <row r="92" spans="1:18" x14ac:dyDescent="0.25">
      <c r="A92" s="198" t="s">
        <v>171</v>
      </c>
      <c r="B92" s="435">
        <f t="shared" si="9"/>
        <v>0</v>
      </c>
      <c r="C92" s="277">
        <f>Предпосылки!E340</f>
        <v>0</v>
      </c>
      <c r="D92" s="277">
        <f>Предпосылки!G340</f>
        <v>0</v>
      </c>
      <c r="E92" s="277">
        <f>Предпосылки!H340</f>
        <v>0</v>
      </c>
      <c r="G92" s="210" t="s">
        <v>39</v>
      </c>
      <c r="H92" s="461">
        <f>IFERROR(IF(H69&gt;0,IF(SUM(G92:$G92)+H69/$C$79&gt;=H69,H69-SUM(G92:$G92),IF(H69&gt;0,IF(H14=$D$79,H69/$C$79*(4-$E$79)/4,H69/$C$79),0)),0),0)</f>
        <v>0</v>
      </c>
      <c r="I92" s="461">
        <f>IFERROR(IF(I69&gt;0,IF(SUM(H92:$H92)+I69/$C92&gt;=I69,I69-SUM(H92:$H92),IF(I69&gt;0,IF(I14=$D92,I69/$C92*(4-$E92)/4,I69/$C92),0)),0),0)</f>
        <v>0</v>
      </c>
      <c r="J92" s="461">
        <f>IFERROR(IF(J69&gt;0,IF(SUM($H92:I92)+J69/$C92&gt;=J69,J69-SUM($H92:I92),IF(J69&gt;0,IF(J14=$D92,J69/$C92*(4-$E92)/4,J69/$C92),0)),0),0)</f>
        <v>0</v>
      </c>
      <c r="K92" s="461">
        <f>IFERROR(IF(K69&gt;0,IF(SUM($H92:J92)+K69/$C92&gt;=K69,K69-SUM($H92:J92),IF(K69&gt;0,IF(K14=$D92,K69/$C92*(4-$E92)/4,K69/$C92),0)),0),0)</f>
        <v>0</v>
      </c>
      <c r="L92" s="461">
        <f>IFERROR(IF(L69&gt;0,IF(SUM($H92:K92)+L69/$C92&gt;=L69,L69-SUM($H92:K92),IF(L69&gt;0,IF(L14=$D92,L69/$C92*(4-$E92)/4,L69/$C92),0)),0),0)</f>
        <v>0</v>
      </c>
      <c r="M92" s="461">
        <f>IFERROR(IF(M69&gt;0,IF(SUM($H92:L92)+M69/$C92&gt;=M69,M69-SUM($H92:L92),IF(M69&gt;0,IF(M14=$D92,M69/$C92*(4-$E92)/4,M69/$C92),0)),0),0)</f>
        <v>0</v>
      </c>
      <c r="N92" s="461">
        <f>IFERROR(IF(N69&gt;0,IF(SUM($H92:M92)+N69/$C92&gt;=N69,N69-SUM($H92:M92),IF(N69&gt;0,IF(N14=$D92,N69/$C92*(4-$E92)/4,N69/$C92),0)),0),0)</f>
        <v>0</v>
      </c>
      <c r="O92" s="461">
        <f>IFERROR(IF(O69&gt;0,IF(SUM($H92:N92)+O69/$C92&gt;=O69,O69-SUM($H92:N92),IF(O69&gt;0,IF(O14=$D92,O69/$C92*(4-$E92)/4,O69/$C92),0)),0),0)</f>
        <v>0</v>
      </c>
      <c r="P92" s="461">
        <f>IFERROR(IF(P69&gt;0,IF(SUM($H92:O92)+P69/$C92&gt;=P69,P69-SUM($H92:O92),IF(P69&gt;0,IF(P14=$D92,P69/$C92*(4-$E92)/4,P69/$C92),0)),0),0)</f>
        <v>0</v>
      </c>
      <c r="Q92" s="461">
        <f>IFERROR(IF(Q69&gt;0,IF(SUM($H92:P92)+Q69/$C92&gt;=Q69,Q69-SUM($H92:P92),IF(Q69&gt;0,IF(Q14=$D92,Q69/$C92*(4-$E92)/4,Q69/$C92),0)),0),0)</f>
        <v>0</v>
      </c>
      <c r="R92" s="537"/>
    </row>
    <row r="93" spans="1:18" x14ac:dyDescent="0.25">
      <c r="A93" s="198" t="s">
        <v>172</v>
      </c>
      <c r="B93" s="435">
        <f t="shared" si="9"/>
        <v>0</v>
      </c>
      <c r="C93" s="277">
        <f>Предпосылки!E341</f>
        <v>0</v>
      </c>
      <c r="D93" s="277">
        <f>Предпосылки!G341</f>
        <v>0</v>
      </c>
      <c r="E93" s="277">
        <f>Предпосылки!H341</f>
        <v>0</v>
      </c>
      <c r="G93" s="210" t="s">
        <v>39</v>
      </c>
      <c r="H93" s="461">
        <f>IFERROR(IF(H70&gt;0,IF(SUM(G93:$G93)+H70/$C$79&gt;=H70,H70-SUM(G93:$G93),IF(H70&gt;0,IF(H15=$D$79,H70/$C$79*(4-$E$79)/4,H70/$C$79),0)),0),0)</f>
        <v>0</v>
      </c>
      <c r="I93" s="461">
        <f>IFERROR(IF(I70&gt;0,IF(SUM(H93:$H93)+I70/$C93&gt;=I70,I70-SUM(H93:$H93),IF(I70&gt;0,IF(I15=$D93,I70/$C93*(4-$E93)/4,I70/$C93),0)),0),0)</f>
        <v>0</v>
      </c>
      <c r="J93" s="461">
        <f>IFERROR(IF(J70&gt;0,IF(SUM($H93:I93)+J70/$C93&gt;=J70,J70-SUM($H93:I93),IF(J70&gt;0,IF(J15=$D93,J70/$C93*(4-$E93)/4,J70/$C93),0)),0),0)</f>
        <v>0</v>
      </c>
      <c r="K93" s="461">
        <f>IFERROR(IF(K70&gt;0,IF(SUM($H93:J93)+K70/$C93&gt;=K70,K70-SUM($H93:J93),IF(K70&gt;0,IF(K15=$D93,K70/$C93*(4-$E93)/4,K70/$C93),0)),0),0)</f>
        <v>0</v>
      </c>
      <c r="L93" s="461">
        <f>IFERROR(IF(L70&gt;0,IF(SUM($H93:K93)+L70/$C93&gt;=L70,L70-SUM($H93:K93),IF(L70&gt;0,IF(L15=$D93,L70/$C93*(4-$E93)/4,L70/$C93),0)),0),0)</f>
        <v>0</v>
      </c>
      <c r="M93" s="461">
        <f>IFERROR(IF(M70&gt;0,IF(SUM($H93:L93)+M70/$C93&gt;=M70,M70-SUM($H93:L93),IF(M70&gt;0,IF(M15=$D93,M70/$C93*(4-$E93)/4,M70/$C93),0)),0),0)</f>
        <v>0</v>
      </c>
      <c r="N93" s="461">
        <f>IFERROR(IF(N70&gt;0,IF(SUM($H93:M93)+N70/$C93&gt;=N70,N70-SUM($H93:M93),IF(N70&gt;0,IF(N15=$D93,N70/$C93*(4-$E93)/4,N70/$C93),0)),0),0)</f>
        <v>0</v>
      </c>
      <c r="O93" s="461">
        <f>IFERROR(IF(O70&gt;0,IF(SUM($H93:N93)+O70/$C93&gt;=O70,O70-SUM($H93:N93),IF(O70&gt;0,IF(O15=$D93,O70/$C93*(4-$E93)/4,O70/$C93),0)),0),0)</f>
        <v>0</v>
      </c>
      <c r="P93" s="461">
        <f>IFERROR(IF(P70&gt;0,IF(SUM($H93:O93)+P70/$C93&gt;=P70,P70-SUM($H93:O93),IF(P70&gt;0,IF(P15=$D93,P70/$C93*(4-$E93)/4,P70/$C93),0)),0),0)</f>
        <v>0</v>
      </c>
      <c r="Q93" s="461">
        <f>IFERROR(IF(Q70&gt;0,IF(SUM($H93:P93)+Q70/$C93&gt;=Q70,Q70-SUM($H93:P93),IF(Q70&gt;0,IF(Q15=$D93,Q70/$C93*(4-$E93)/4,Q70/$C93),0)),0),0)</f>
        <v>0</v>
      </c>
      <c r="R93" s="537"/>
    </row>
    <row r="94" spans="1:18" x14ac:dyDescent="0.25">
      <c r="A94" s="198" t="s">
        <v>173</v>
      </c>
      <c r="B94" s="435">
        <f t="shared" si="9"/>
        <v>0</v>
      </c>
      <c r="C94" s="277">
        <f>Предпосылки!E342</f>
        <v>0</v>
      </c>
      <c r="D94" s="277">
        <f>Предпосылки!G342</f>
        <v>0</v>
      </c>
      <c r="E94" s="277">
        <f>Предпосылки!H342</f>
        <v>0</v>
      </c>
      <c r="G94" s="210" t="s">
        <v>39</v>
      </c>
      <c r="H94" s="461">
        <f>IFERROR(IF(H71&gt;0,IF(SUM(G94:$G94)+H71/$C$79&gt;=H71,H71-SUM(G94:$G94),IF(H71&gt;0,IF(H16=$D$79,H71/$C$79*(4-$E$79)/4,H71/$C$79),0)),0),0)</f>
        <v>0</v>
      </c>
      <c r="I94" s="461">
        <f>IFERROR(IF(I71&gt;0,IF(SUM(H94:$H94)+I71/$C94&gt;=I71,I71-SUM(H94:$H94),IF(I71&gt;0,IF(I16=$D94,I71/$C94*(4-$E94)/4,I71/$C94),0)),0),0)</f>
        <v>0</v>
      </c>
      <c r="J94" s="461">
        <f>IFERROR(IF(J71&gt;0,IF(SUM($H94:I94)+J71/$C94&gt;=J71,J71-SUM($H94:I94),IF(J71&gt;0,IF(J16=$D94,J71/$C94*(4-$E94)/4,J71/$C94),0)),0),0)</f>
        <v>0</v>
      </c>
      <c r="K94" s="461">
        <f>IFERROR(IF(K71&gt;0,IF(SUM($H94:J94)+K71/$C94&gt;=K71,K71-SUM($H94:J94),IF(K71&gt;0,IF(K16=$D94,K71/$C94*(4-$E94)/4,K71/$C94),0)),0),0)</f>
        <v>0</v>
      </c>
      <c r="L94" s="461">
        <f>IFERROR(IF(L71&gt;0,IF(SUM($H94:K94)+L71/$C94&gt;=L71,L71-SUM($H94:K94),IF(L71&gt;0,IF(L16=$D94,L71/$C94*(4-$E94)/4,L71/$C94),0)),0),0)</f>
        <v>0</v>
      </c>
      <c r="M94" s="461">
        <f>IFERROR(IF(M71&gt;0,IF(SUM($H94:L94)+M71/$C94&gt;=M71,M71-SUM($H94:L94),IF(M71&gt;0,IF(M16=$D94,M71/$C94*(4-$E94)/4,M71/$C94),0)),0),0)</f>
        <v>0</v>
      </c>
      <c r="N94" s="461">
        <f>IFERROR(IF(N71&gt;0,IF(SUM($H94:M94)+N71/$C94&gt;=N71,N71-SUM($H94:M94),IF(N71&gt;0,IF(N16=$D94,N71/$C94*(4-$E94)/4,N71/$C94),0)),0),0)</f>
        <v>0</v>
      </c>
      <c r="O94" s="461">
        <f>IFERROR(IF(O71&gt;0,IF(SUM($H94:N94)+O71/$C94&gt;=O71,O71-SUM($H94:N94),IF(O71&gt;0,IF(O16=$D94,O71/$C94*(4-$E94)/4,O71/$C94),0)),0),0)</f>
        <v>0</v>
      </c>
      <c r="P94" s="461">
        <f>IFERROR(IF(P71&gt;0,IF(SUM($H94:O94)+P71/$C94&gt;=P71,P71-SUM($H94:O94),IF(P71&gt;0,IF(P16=$D94,P71/$C94*(4-$E94)/4,P71/$C94),0)),0),0)</f>
        <v>0</v>
      </c>
      <c r="Q94" s="461">
        <f>IFERROR(IF(Q71&gt;0,IF(SUM($H94:P94)+Q71/$C94&gt;=Q71,Q71-SUM($H94:P94),IF(Q71&gt;0,IF(Q16=$D94,Q71/$C94*(4-$E94)/4,Q71/$C94),0)),0),0)</f>
        <v>0</v>
      </c>
      <c r="R94" s="537"/>
    </row>
    <row r="95" spans="1:18" x14ac:dyDescent="0.25">
      <c r="A95" s="198" t="s">
        <v>174</v>
      </c>
      <c r="B95" s="435">
        <f t="shared" si="9"/>
        <v>0</v>
      </c>
      <c r="C95" s="277">
        <f>Предпосылки!E343</f>
        <v>0</v>
      </c>
      <c r="D95" s="277">
        <f>Предпосылки!G343</f>
        <v>0</v>
      </c>
      <c r="E95" s="277">
        <f>Предпосылки!H343</f>
        <v>0</v>
      </c>
      <c r="G95" s="210" t="s">
        <v>39</v>
      </c>
      <c r="H95" s="461">
        <f>IFERROR(IF(H72&gt;0,IF(SUM(G95:$G95)+H72/$C$79&gt;=H72,H72-SUM(G95:$G95),IF(H72&gt;0,IF(H17=$D$79,H72/$C$79*(4-$E$79)/4,H72/$C$79),0)),0),0)</f>
        <v>0</v>
      </c>
      <c r="I95" s="461">
        <f>IFERROR(IF(I72&gt;0,IF(SUM(H95:$H95)+I72/$C95&gt;=I72,I72-SUM(H95:$H95),IF(I72&gt;0,IF(I17=$D95,I72/$C95*(4-$E95)/4,I72/$C95),0)),0),0)</f>
        <v>0</v>
      </c>
      <c r="J95" s="461">
        <f>IFERROR(IF(J72&gt;0,IF(SUM($H95:I95)+J72/$C95&gt;=J72,J72-SUM($H95:I95),IF(J72&gt;0,IF(J17=$D95,J72/$C95*(4-$E95)/4,J72/$C95),0)),0),0)</f>
        <v>0</v>
      </c>
      <c r="K95" s="461">
        <f>IFERROR(IF(K72&gt;0,IF(SUM($H95:J95)+K72/$C95&gt;=K72,K72-SUM($H95:J95),IF(K72&gt;0,IF(K17=$D95,K72/$C95*(4-$E95)/4,K72/$C95),0)),0),0)</f>
        <v>0</v>
      </c>
      <c r="L95" s="461">
        <f>IFERROR(IF(L72&gt;0,IF(SUM($H95:K95)+L72/$C95&gt;=L72,L72-SUM($H95:K95),IF(L72&gt;0,IF(L17=$D95,L72/$C95*(4-$E95)/4,L72/$C95),0)),0),0)</f>
        <v>0</v>
      </c>
      <c r="M95" s="461">
        <f>IFERROR(IF(M72&gt;0,IF(SUM($H95:L95)+M72/$C95&gt;=M72,M72-SUM($H95:L95),IF(M72&gt;0,IF(M17=$D95,M72/$C95*(4-$E95)/4,M72/$C95),0)),0),0)</f>
        <v>0</v>
      </c>
      <c r="N95" s="461">
        <f>IFERROR(IF(N72&gt;0,IF(SUM($H95:M95)+N72/$C95&gt;=N72,N72-SUM($H95:M95),IF(N72&gt;0,IF(N17=$D95,N72/$C95*(4-$E95)/4,N72/$C95),0)),0),0)</f>
        <v>0</v>
      </c>
      <c r="O95" s="461">
        <f>IFERROR(IF(O72&gt;0,IF(SUM($H95:N95)+O72/$C95&gt;=O72,O72-SUM($H95:N95),IF(O72&gt;0,IF(O17=$D95,O72/$C95*(4-$E95)/4,O72/$C95),0)),0),0)</f>
        <v>0</v>
      </c>
      <c r="P95" s="461">
        <f>IFERROR(IF(P72&gt;0,IF(SUM($H95:O95)+P72/$C95&gt;=P72,P72-SUM($H95:O95),IF(P72&gt;0,IF(P17=$D95,P72/$C95*(4-$E95)/4,P72/$C95),0)),0),0)</f>
        <v>0</v>
      </c>
      <c r="Q95" s="461">
        <f>IFERROR(IF(Q72&gt;0,IF(SUM($H95:P95)+Q72/$C95&gt;=Q72,Q72-SUM($H95:P95),IF(Q72&gt;0,IF(Q17=$D95,Q72/$C95*(4-$E95)/4,Q72/$C95),0)),0),0)</f>
        <v>0</v>
      </c>
      <c r="R95" s="537"/>
    </row>
    <row r="96" spans="1:18" x14ac:dyDescent="0.25">
      <c r="A96" s="198" t="s">
        <v>175</v>
      </c>
      <c r="B96" s="435">
        <f t="shared" si="9"/>
        <v>0</v>
      </c>
      <c r="C96" s="277">
        <f>Предпосылки!E344</f>
        <v>0</v>
      </c>
      <c r="D96" s="277">
        <f>Предпосылки!G344</f>
        <v>0</v>
      </c>
      <c r="E96" s="277">
        <f>Предпосылки!H344</f>
        <v>0</v>
      </c>
      <c r="G96" s="210" t="s">
        <v>39</v>
      </c>
      <c r="H96" s="461">
        <f>IFERROR(IF(H73&gt;0,IF(SUM(G96:$G96)+H73/$C$79&gt;=H73,H73-SUM(G96:$G96),IF(H73&gt;0,IF(H18=$D$79,H73/$C$79*(4-$E$79)/4,H73/$C$79),0)),0),0)</f>
        <v>0</v>
      </c>
      <c r="I96" s="461">
        <f>IFERROR(IF(I73&gt;0,IF(SUM(H96:$H96)+I73/$C96&gt;=I73,I73-SUM(H96:$H96),IF(I73&gt;0,IF(I18=$D96,I73/$C96*(4-$E96)/4,I73/$C96),0)),0),0)</f>
        <v>0</v>
      </c>
      <c r="J96" s="461">
        <f>IFERROR(IF(J73&gt;0,IF(SUM($H96:I96)+J73/$C96&gt;=J73,J73-SUM($H96:I96),IF(J73&gt;0,IF(J18=$D96,J73/$C96*(4-$E96)/4,J73/$C96),0)),0),0)</f>
        <v>0</v>
      </c>
      <c r="K96" s="461">
        <f>IFERROR(IF(K73&gt;0,IF(SUM($H96:J96)+K73/$C96&gt;=K73,K73-SUM($H96:J96),IF(K73&gt;0,IF(K18=$D96,K73/$C96*(4-$E96)/4,K73/$C96),0)),0),0)</f>
        <v>0</v>
      </c>
      <c r="L96" s="461">
        <f>IFERROR(IF(L73&gt;0,IF(SUM($H96:K96)+L73/$C96&gt;=L73,L73-SUM($H96:K96),IF(L73&gt;0,IF(L18=$D96,L73/$C96*(4-$E96)/4,L73/$C96),0)),0),0)</f>
        <v>0</v>
      </c>
      <c r="M96" s="461">
        <f>IFERROR(IF(M73&gt;0,IF(SUM($H96:L96)+M73/$C96&gt;=M73,M73-SUM($H96:L96),IF(M73&gt;0,IF(M18=$D96,M73/$C96*(4-$E96)/4,M73/$C96),0)),0),0)</f>
        <v>0</v>
      </c>
      <c r="N96" s="461">
        <f>IFERROR(IF(N73&gt;0,IF(SUM($H96:M96)+N73/$C96&gt;=N73,N73-SUM($H96:M96),IF(N73&gt;0,IF(N18=$D96,N73/$C96*(4-$E96)/4,N73/$C96),0)),0),0)</f>
        <v>0</v>
      </c>
      <c r="O96" s="461">
        <f>IFERROR(IF(O73&gt;0,IF(SUM($H96:N96)+O73/$C96&gt;=O73,O73-SUM($H96:N96),IF(O73&gt;0,IF(O18=$D96,O73/$C96*(4-$E96)/4,O73/$C96),0)),0),0)</f>
        <v>0</v>
      </c>
      <c r="P96" s="461">
        <f>IFERROR(IF(P73&gt;0,IF(SUM($H96:O96)+P73/$C96&gt;=P73,P73-SUM($H96:O96),IF(P73&gt;0,IF(P18=$D96,P73/$C96*(4-$E96)/4,P73/$C96),0)),0),0)</f>
        <v>0</v>
      </c>
      <c r="Q96" s="461">
        <f>IFERROR(IF(Q73&gt;0,IF(SUM($H96:P96)+Q73/$C96&gt;=Q73,Q73-SUM($H96:P96),IF(Q73&gt;0,IF(Q18=$D96,Q73/$C96*(4-$E96)/4,Q73/$C96),0)),0),0)</f>
        <v>0</v>
      </c>
      <c r="R96" s="537"/>
    </row>
    <row r="97" spans="1:18" x14ac:dyDescent="0.25">
      <c r="A97" s="198" t="s">
        <v>176</v>
      </c>
      <c r="B97" s="223" t="str">
        <f t="shared" si="9"/>
        <v>Проценты на инвест.стадии (рассчитываются автоматически)</v>
      </c>
      <c r="C97" s="277">
        <f>Предпосылки!E345</f>
        <v>0</v>
      </c>
      <c r="D97" s="277">
        <f>Предпосылки!G345</f>
        <v>0</v>
      </c>
      <c r="E97" s="277">
        <f>Предпосылки!H345</f>
        <v>0</v>
      </c>
      <c r="G97" s="210" t="s">
        <v>39</v>
      </c>
      <c r="H97" s="461">
        <f>IFERROR(IF(H74&gt;0,IF(SUM(G97:$G97)+H74/$C$79&gt;=H74,H74-SUM(G97:$G97),IF(H74&gt;0,IF(H19=$D$79,H74/$C$79*(4-$E$79)/4,H74/$C$79),0)),0),0)</f>
        <v>60</v>
      </c>
      <c r="I97" s="461">
        <f>IFERROR(IF(I74&gt;0,IF(SUM(H97:$H97)+I74/$C97&gt;=I74,I74-SUM(H97:$H97),IF(I74&gt;0,IF(I19=$D97,I74/$C97*(4-$E97)/4,I74/$C97),0)),0),0)</f>
        <v>0</v>
      </c>
      <c r="J97" s="461">
        <f>IFERROR(IF(J74&gt;0,IF(SUM($H97:I97)+J74/$C97&gt;=J74,J74-SUM($H97:I97),IF(J74&gt;0,IF(J19=$D97,J74/$C97*(4-$E97)/4,J74/$C97),0)),0),0)</f>
        <v>0</v>
      </c>
      <c r="K97" s="461">
        <f>IFERROR(IF(K74&gt;0,IF(SUM($H97:J97)+K74/$C97&gt;=K74,K74-SUM($H97:J97),IF(K74&gt;0,IF(K19=$D97,K74/$C97*(4-$E97)/4,K74/$C97),0)),0),0)</f>
        <v>0</v>
      </c>
      <c r="L97" s="461">
        <f>IFERROR(IF(L74&gt;0,IF(SUM($H97:K97)+L74/$C97&gt;=L74,L74-SUM($H97:K97),IF(L74&gt;0,IF(L19=$D97,L74/$C97*(4-$E97)/4,L74/$C97),0)),0),0)</f>
        <v>0</v>
      </c>
      <c r="M97" s="461">
        <f>IFERROR(IF(M74&gt;0,IF(SUM($H97:L97)+M74/$C97&gt;=M74,M74-SUM($H97:L97),IF(M74&gt;0,IF(M19=$D97,M74/$C97*(4-$E97)/4,M74/$C97),0)),0),0)</f>
        <v>0</v>
      </c>
      <c r="N97" s="461">
        <f>IFERROR(IF(N74&gt;0,IF(SUM($H97:M97)+N74/$C97&gt;=N74,N74-SUM($H97:M97),IF(N74&gt;0,IF(N19=$D97,N74/$C97*(4-$E97)/4,N74/$C97),0)),0),0)</f>
        <v>0</v>
      </c>
      <c r="O97" s="461">
        <f>IFERROR(IF(O74&gt;0,IF(SUM($H97:N97)+O74/$C97&gt;=O74,O74-SUM($H97:N97),IF(O74&gt;0,IF(O19=$D97,O74/$C97*(4-$E97)/4,O74/$C97),0)),0),0)</f>
        <v>0</v>
      </c>
      <c r="P97" s="461">
        <f>IFERROR(IF(P74&gt;0,IF(SUM($H97:O97)+P74/$C97&gt;=P74,P74-SUM($H97:O97),IF(P74&gt;0,IF(P19=$D97,P74/$C97*(4-$E97)/4,P74/$C97),0)),0),0)</f>
        <v>0</v>
      </c>
      <c r="Q97" s="461">
        <f>IFERROR(IF(Q74&gt;0,IF(SUM($H97:P97)+Q74/$C97&gt;=Q74,Q74-SUM($H97:P97),IF(Q74&gt;0,IF(Q19=$D97,Q74/$C97*(4-$E97)/4,Q74/$C97),0)),0),0)</f>
        <v>0</v>
      </c>
      <c r="R97" s="537"/>
    </row>
    <row r="98" spans="1:18" s="453" customFormat="1" ht="30" x14ac:dyDescent="0.25">
      <c r="A98" s="462" t="s">
        <v>177</v>
      </c>
      <c r="B98" s="463" t="str">
        <f t="shared" si="9"/>
        <v>Операционные расходы на инвест.стадии до получения выручки (рассчитываются автоматически)</v>
      </c>
      <c r="C98" s="383">
        <f>Предпосылки!E346</f>
        <v>0</v>
      </c>
      <c r="D98" s="383">
        <f>Предпосылки!G346</f>
        <v>0</v>
      </c>
      <c r="E98" s="383">
        <f>Предпосылки!H346</f>
        <v>0</v>
      </c>
      <c r="F98" s="464"/>
      <c r="G98" s="45" t="s">
        <v>39</v>
      </c>
      <c r="H98" s="578">
        <f>IFERROR(IF(H75&gt;0,IF(SUM(G98:$G98)+H75/$C$79&gt;=H75,H75-SUM(G98:$G98),IF(H75&gt;0,IF(H20=$D$79,H75/$C$79*(4-$E$79)/4,H75/$C$79),0)),0),0)</f>
        <v>135.03984077260276</v>
      </c>
      <c r="I98" s="578">
        <f>IFERROR(IF(I75&gt;0,IF(SUM(H98:$H98)+I75/$C98&gt;=I75,I75-SUM(H98:$H98),IF(I75&gt;0,IF(I20=$D98,I75/$C98*(4-$E98)/4,I75/$C98),0)),0),0)</f>
        <v>0</v>
      </c>
      <c r="J98" s="578">
        <f>IFERROR(IF(J75&gt;0,IF(SUM($H98:I98)+J75/$C98&gt;=J75,J75-SUM($H98:I98),IF(J75&gt;0,IF(J20=$D98,J75/$C98*(4-$E98)/4,J75/$C98),0)),0),0)</f>
        <v>0</v>
      </c>
      <c r="K98" s="578">
        <f>IFERROR(IF(K75&gt;0,IF(SUM($H98:J98)+K75/$C98&gt;=K75,K75-SUM($H98:J98),IF(K75&gt;0,IF(K20=$D98,K75/$C98*(4-$E98)/4,K75/$C98),0)),0),0)</f>
        <v>0</v>
      </c>
      <c r="L98" s="578">
        <f>IFERROR(IF(L75&gt;0,IF(SUM($H98:K98)+L75/$C98&gt;=L75,L75-SUM($H98:K98),IF(L75&gt;0,IF(L20=$D98,L75/$C98*(4-$E98)/4,L75/$C98),0)),0),0)</f>
        <v>0</v>
      </c>
      <c r="M98" s="578">
        <f>IFERROR(IF(M75&gt;0,IF(SUM($H98:L98)+M75/$C98&gt;=M75,M75-SUM($H98:L98),IF(M75&gt;0,IF(M20=$D98,M75/$C98*(4-$E98)/4,M75/$C98),0)),0),0)</f>
        <v>0</v>
      </c>
      <c r="N98" s="578">
        <f>IFERROR(IF(N75&gt;0,IF(SUM($H98:M98)+N75/$C98&gt;=N75,N75-SUM($H98:M98),IF(N75&gt;0,IF(N20=$D98,N75/$C98*(4-$E98)/4,N75/$C98),0)),0),0)</f>
        <v>0</v>
      </c>
      <c r="O98" s="578">
        <f>IFERROR(IF(O75&gt;0,IF(SUM($H98:N98)+O75/$C98&gt;=O75,O75-SUM($H98:N98),IF(O75&gt;0,IF(O20=$D98,O75/$C98*(4-$E98)/4,O75/$C98),0)),0),0)</f>
        <v>0</v>
      </c>
      <c r="P98" s="578">
        <f>IFERROR(IF(P75&gt;0,IF(SUM($H98:O98)+P75/$C98&gt;=P75,P75-SUM($H98:O98),IF(P75&gt;0,IF(P20=$D98,P75/$C98*(4-$E98)/4,P75/$C98),0)),0),0)</f>
        <v>0</v>
      </c>
      <c r="Q98" s="578">
        <f>IFERROR(IF(Q75&gt;0,IF(SUM($H98:P98)+Q75/$C98&gt;=Q75,Q75-SUM($H98:P98),IF(Q75&gt;0,IF(Q20=$D98,Q75/$C98*(4-$E98)/4,Q75/$C98),0)),0),0)</f>
        <v>0</v>
      </c>
      <c r="R98" s="537"/>
    </row>
    <row r="99" spans="1:18" x14ac:dyDescent="0.25">
      <c r="B99" s="14" t="s">
        <v>196</v>
      </c>
      <c r="F99" s="17"/>
      <c r="G99" s="15" t="s">
        <v>39</v>
      </c>
      <c r="H99" s="222">
        <f t="shared" ref="H99:Q99" si="10">SUM(H79:H98)</f>
        <v>542.23984077260275</v>
      </c>
      <c r="I99" s="222">
        <f t="shared" si="10"/>
        <v>13672.193499999999</v>
      </c>
      <c r="J99" s="222">
        <f t="shared" si="10"/>
        <v>14805.117949999998</v>
      </c>
      <c r="K99" s="222">
        <f t="shared" si="10"/>
        <v>14805.117949999998</v>
      </c>
      <c r="L99" s="222">
        <f t="shared" si="10"/>
        <v>14805.117949999998</v>
      </c>
      <c r="M99" s="222">
        <f t="shared" si="10"/>
        <v>14805.117949999998</v>
      </c>
      <c r="N99" s="222">
        <f t="shared" si="10"/>
        <v>8785.1039499999988</v>
      </c>
      <c r="O99" s="222">
        <f t="shared" si="10"/>
        <v>8785.1039499999988</v>
      </c>
      <c r="P99" s="222">
        <f t="shared" si="10"/>
        <v>8785.1039499999988</v>
      </c>
      <c r="Q99" s="222">
        <f t="shared" si="10"/>
        <v>8785.1039499999988</v>
      </c>
    </row>
    <row r="100" spans="1:18" x14ac:dyDescent="0.25">
      <c r="G100" s="210"/>
    </row>
    <row r="101" spans="1:18" x14ac:dyDescent="0.25">
      <c r="B101" s="162" t="s">
        <v>228</v>
      </c>
      <c r="G101" s="210"/>
    </row>
    <row r="102" spans="1:18" x14ac:dyDescent="0.25">
      <c r="A102" s="198" t="s">
        <v>151</v>
      </c>
      <c r="B102" s="435" t="str">
        <f t="shared" ref="B102:B109" si="11">B79</f>
        <v>Здания и сооружения</v>
      </c>
      <c r="G102" s="210" t="s">
        <v>39</v>
      </c>
      <c r="H102" s="35">
        <f>SUM($H79:H79)</f>
        <v>0</v>
      </c>
      <c r="I102" s="35">
        <f>SUM($H79:I79)</f>
        <v>2669.4255000000003</v>
      </c>
      <c r="J102" s="35">
        <f>SUM($H79:J79)</f>
        <v>6228.6595000000007</v>
      </c>
      <c r="K102" s="35">
        <f>SUM($H79:K79)</f>
        <v>9787.8935000000019</v>
      </c>
      <c r="L102" s="35">
        <f>SUM($H79:L79)</f>
        <v>13347.127500000002</v>
      </c>
      <c r="M102" s="35">
        <f>SUM($H79:M79)</f>
        <v>16906.361500000003</v>
      </c>
      <c r="N102" s="35">
        <f>SUM($H79:N79)</f>
        <v>20465.595500000003</v>
      </c>
      <c r="O102" s="35">
        <f>SUM($H79:O79)</f>
        <v>24024.829500000003</v>
      </c>
      <c r="P102" s="35">
        <f>SUM($H79:P79)</f>
        <v>27584.063500000004</v>
      </c>
      <c r="Q102" s="35">
        <f>SUM($H79:Q79)</f>
        <v>31143.297500000004</v>
      </c>
    </row>
    <row r="103" spans="1:18" x14ac:dyDescent="0.25">
      <c r="A103" s="198" t="s">
        <v>152</v>
      </c>
      <c r="B103" s="435" t="str">
        <f t="shared" si="11"/>
        <v>Инженерные сети</v>
      </c>
      <c r="G103" s="210" t="s">
        <v>39</v>
      </c>
      <c r="H103" s="35">
        <f>SUM($H80:H80)</f>
        <v>0</v>
      </c>
      <c r="I103" s="35">
        <f>SUM($H80:I80)</f>
        <v>557.03899999999999</v>
      </c>
      <c r="J103" s="35">
        <f>SUM($H80:J80)</f>
        <v>1114.078</v>
      </c>
      <c r="K103" s="35">
        <f>SUM($H80:K80)</f>
        <v>1671.117</v>
      </c>
      <c r="L103" s="35">
        <f>SUM($H80:L80)</f>
        <v>2228.1559999999999</v>
      </c>
      <c r="M103" s="35">
        <f>SUM($H80:M80)</f>
        <v>2785.1949999999997</v>
      </c>
      <c r="N103" s="35">
        <f>SUM($H80:N80)</f>
        <v>3342.2339999999995</v>
      </c>
      <c r="O103" s="35">
        <f>SUM($H80:O80)</f>
        <v>3899.2729999999992</v>
      </c>
      <c r="P103" s="35">
        <f>SUM($H80:P80)</f>
        <v>4456.311999999999</v>
      </c>
      <c r="Q103" s="35">
        <f>SUM($H80:Q80)</f>
        <v>5013.3509999999987</v>
      </c>
    </row>
    <row r="104" spans="1:18" x14ac:dyDescent="0.25">
      <c r="A104" s="198" t="s">
        <v>153</v>
      </c>
      <c r="B104" s="435" t="str">
        <f t="shared" si="11"/>
        <v>Оборудование</v>
      </c>
      <c r="G104" s="210" t="s">
        <v>39</v>
      </c>
      <c r="H104" s="35">
        <f>SUM($H81:H81)</f>
        <v>0</v>
      </c>
      <c r="I104" s="35">
        <f>SUM($H81:I81)</f>
        <v>3473.085</v>
      </c>
      <c r="J104" s="35">
        <f>SUM($H81:J81)</f>
        <v>7189.2859499999995</v>
      </c>
      <c r="K104" s="35">
        <f>SUM($H81:K81)</f>
        <v>10905.4869</v>
      </c>
      <c r="L104" s="35">
        <f>SUM($H81:L81)</f>
        <v>14621.68785</v>
      </c>
      <c r="M104" s="35">
        <f>SUM($H81:M81)</f>
        <v>18337.888800000001</v>
      </c>
      <c r="N104" s="35">
        <f>SUM($H81:N81)</f>
        <v>22054.089749999999</v>
      </c>
      <c r="O104" s="35">
        <f>SUM($H81:O81)</f>
        <v>25770.290699999998</v>
      </c>
      <c r="P104" s="35">
        <f>SUM($H81:P81)</f>
        <v>29486.491649999996</v>
      </c>
      <c r="Q104" s="35">
        <f>SUM($H81:Q81)</f>
        <v>33202.692599999995</v>
      </c>
    </row>
    <row r="105" spans="1:18" x14ac:dyDescent="0.25">
      <c r="A105" s="198" t="s">
        <v>154</v>
      </c>
      <c r="B105" s="435" t="str">
        <f t="shared" si="11"/>
        <v>Транспорт</v>
      </c>
      <c r="G105" s="210" t="s">
        <v>39</v>
      </c>
      <c r="H105" s="35">
        <f>SUM($H82:H82)</f>
        <v>0</v>
      </c>
      <c r="I105" s="35">
        <f>SUM($H82:I82)</f>
        <v>5788.4749999999995</v>
      </c>
      <c r="J105" s="35">
        <f>SUM($H82:J82)</f>
        <v>11576.949999999999</v>
      </c>
      <c r="K105" s="35">
        <f>SUM($H82:K82)</f>
        <v>17365.424999999999</v>
      </c>
      <c r="L105" s="35">
        <f>SUM($H82:L82)</f>
        <v>23153.899999999998</v>
      </c>
      <c r="M105" s="35">
        <f>SUM($H82:M82)</f>
        <v>28942.374999999996</v>
      </c>
      <c r="N105" s="35">
        <f>SUM($H82:N82)</f>
        <v>28942.374999999996</v>
      </c>
      <c r="O105" s="35">
        <f>SUM($H82:O82)</f>
        <v>28942.374999999996</v>
      </c>
      <c r="P105" s="35">
        <f>SUM($H82:P82)</f>
        <v>28942.374999999996</v>
      </c>
      <c r="Q105" s="35">
        <f>SUM($H82:Q82)</f>
        <v>28942.374999999996</v>
      </c>
    </row>
    <row r="106" spans="1:18" x14ac:dyDescent="0.25">
      <c r="A106" s="198" t="s">
        <v>155</v>
      </c>
      <c r="B106" s="435" t="str">
        <f t="shared" si="11"/>
        <v>Дороги</v>
      </c>
      <c r="G106" s="210" t="s">
        <v>39</v>
      </c>
      <c r="H106" s="35">
        <f>SUM($H83:H83)</f>
        <v>217</v>
      </c>
      <c r="I106" s="35">
        <f>SUM($H83:I83)</f>
        <v>1169.6299999999999</v>
      </c>
      <c r="J106" s="35">
        <f>SUM($H83:J83)</f>
        <v>2122.2599999999998</v>
      </c>
      <c r="K106" s="35">
        <f>SUM($H83:K83)</f>
        <v>3074.8899999999994</v>
      </c>
      <c r="L106" s="35">
        <f>SUM($H83:L83)</f>
        <v>4027.5199999999995</v>
      </c>
      <c r="M106" s="35">
        <f>SUM($H83:M83)</f>
        <v>4980.1499999999996</v>
      </c>
      <c r="N106" s="35">
        <f>SUM($H83:N83)</f>
        <v>5932.78</v>
      </c>
      <c r="O106" s="35">
        <f>SUM($H83:O83)</f>
        <v>6885.41</v>
      </c>
      <c r="P106" s="35">
        <f>SUM($H83:P83)</f>
        <v>7838.04</v>
      </c>
      <c r="Q106" s="35">
        <f>SUM($H83:Q83)</f>
        <v>8790.67</v>
      </c>
    </row>
    <row r="107" spans="1:18" x14ac:dyDescent="0.25">
      <c r="A107" s="198" t="s">
        <v>156</v>
      </c>
      <c r="B107" s="435" t="str">
        <f t="shared" si="11"/>
        <v>HMA</v>
      </c>
      <c r="G107" s="210" t="s">
        <v>39</v>
      </c>
      <c r="H107" s="35">
        <f>SUM($H84:H84)</f>
        <v>0</v>
      </c>
      <c r="I107" s="35">
        <f>SUM($H84:I84)</f>
        <v>231.53899999999999</v>
      </c>
      <c r="J107" s="35">
        <f>SUM($H84:J84)</f>
        <v>463.07799999999997</v>
      </c>
      <c r="K107" s="35">
        <f>SUM($H84:K84)</f>
        <v>694.61699999999996</v>
      </c>
      <c r="L107" s="35">
        <f>SUM($H84:L84)</f>
        <v>926.15599999999995</v>
      </c>
      <c r="M107" s="35">
        <f>SUM($H84:M84)</f>
        <v>1157.6949999999999</v>
      </c>
      <c r="N107" s="35">
        <f>SUM($H84:N84)</f>
        <v>1157.6949999999999</v>
      </c>
      <c r="O107" s="35">
        <f>SUM($H84:O84)</f>
        <v>1157.6949999999999</v>
      </c>
      <c r="P107" s="35">
        <f>SUM($H84:P84)</f>
        <v>1157.6949999999999</v>
      </c>
      <c r="Q107" s="35">
        <f>SUM($H84:Q84)</f>
        <v>1157.6949999999999</v>
      </c>
    </row>
    <row r="108" spans="1:18" x14ac:dyDescent="0.25">
      <c r="A108" s="198" t="s">
        <v>157</v>
      </c>
      <c r="B108" s="435" t="str">
        <f t="shared" si="11"/>
        <v>Подготовительные расходы (ПИР, СМР)</v>
      </c>
      <c r="G108" s="210" t="s">
        <v>39</v>
      </c>
      <c r="H108" s="35">
        <f>SUM($H85:H85)</f>
        <v>130.19999999999999</v>
      </c>
      <c r="I108" s="35">
        <f>SUM($H85:I85)</f>
        <v>130.19999999999999</v>
      </c>
      <c r="J108" s="35">
        <f>SUM($H85:J85)</f>
        <v>130.19999999999999</v>
      </c>
      <c r="K108" s="35">
        <f>SUM($H85:K85)</f>
        <v>130.19999999999999</v>
      </c>
      <c r="L108" s="35">
        <f>SUM($H85:L85)</f>
        <v>130.19999999999999</v>
      </c>
      <c r="M108" s="35">
        <f>SUM($H85:M85)</f>
        <v>130.19999999999999</v>
      </c>
      <c r="N108" s="35">
        <f>SUM($H85:N85)</f>
        <v>130.19999999999999</v>
      </c>
      <c r="O108" s="35">
        <f>SUM($H85:O85)</f>
        <v>130.19999999999999</v>
      </c>
      <c r="P108" s="35">
        <f>SUM($H85:P85)</f>
        <v>130.19999999999999</v>
      </c>
      <c r="Q108" s="35">
        <f>SUM($H85:Q85)</f>
        <v>130.19999999999999</v>
      </c>
    </row>
    <row r="109" spans="1:18" x14ac:dyDescent="0.25">
      <c r="A109" s="198" t="s">
        <v>158</v>
      </c>
      <c r="B109" s="435">
        <f t="shared" si="11"/>
        <v>0</v>
      </c>
      <c r="G109" s="210" t="s">
        <v>39</v>
      </c>
      <c r="H109" s="35">
        <f>SUM($H86:H86)</f>
        <v>0</v>
      </c>
      <c r="I109" s="35">
        <f>SUM($H86:I86)</f>
        <v>0</v>
      </c>
      <c r="J109" s="35">
        <f>SUM($H86:J86)</f>
        <v>0</v>
      </c>
      <c r="K109" s="35">
        <f>SUM($H86:K86)</f>
        <v>0</v>
      </c>
      <c r="L109" s="35">
        <f>SUM($H86:L86)</f>
        <v>0</v>
      </c>
      <c r="M109" s="35">
        <f>SUM($H86:M86)</f>
        <v>0</v>
      </c>
      <c r="N109" s="35">
        <f>SUM($H86:N86)</f>
        <v>0</v>
      </c>
      <c r="O109" s="35">
        <f>SUM($H86:O86)</f>
        <v>0</v>
      </c>
      <c r="P109" s="35">
        <f>SUM($H86:P86)</f>
        <v>0</v>
      </c>
      <c r="Q109" s="35">
        <f>SUM($H86:Q86)</f>
        <v>0</v>
      </c>
    </row>
    <row r="110" spans="1:18" x14ac:dyDescent="0.25">
      <c r="A110" s="198" t="s">
        <v>159</v>
      </c>
      <c r="B110" s="435">
        <f t="shared" ref="B110:B121" si="12">B87</f>
        <v>0</v>
      </c>
      <c r="G110" s="210" t="s">
        <v>39</v>
      </c>
      <c r="H110" s="35">
        <f>SUM($H87:H87)</f>
        <v>0</v>
      </c>
      <c r="I110" s="35">
        <f>SUM($H87:I87)</f>
        <v>0</v>
      </c>
      <c r="J110" s="35">
        <f>SUM($H87:J87)</f>
        <v>0</v>
      </c>
      <c r="K110" s="35">
        <f>SUM($H87:K87)</f>
        <v>0</v>
      </c>
      <c r="L110" s="35">
        <f>SUM($H87:L87)</f>
        <v>0</v>
      </c>
      <c r="M110" s="35">
        <f>SUM($H87:M87)</f>
        <v>0</v>
      </c>
      <c r="N110" s="35">
        <f>SUM($H87:N87)</f>
        <v>0</v>
      </c>
      <c r="O110" s="35">
        <f>SUM($H87:O87)</f>
        <v>0</v>
      </c>
      <c r="P110" s="35">
        <f>SUM($H87:P87)</f>
        <v>0</v>
      </c>
      <c r="Q110" s="35">
        <f>SUM($H87:Q87)</f>
        <v>0</v>
      </c>
    </row>
    <row r="111" spans="1:18" x14ac:dyDescent="0.25">
      <c r="A111" s="198" t="s">
        <v>160</v>
      </c>
      <c r="B111" s="435">
        <f t="shared" si="12"/>
        <v>0</v>
      </c>
      <c r="G111" s="210" t="s">
        <v>39</v>
      </c>
      <c r="H111" s="35">
        <f>SUM($H88:H88)</f>
        <v>0</v>
      </c>
      <c r="I111" s="35">
        <f>SUM($H88:I88)</f>
        <v>0</v>
      </c>
      <c r="J111" s="35">
        <f>SUM($H88:J88)</f>
        <v>0</v>
      </c>
      <c r="K111" s="35">
        <f>SUM($H88:K88)</f>
        <v>0</v>
      </c>
      <c r="L111" s="35">
        <f>SUM($H88:L88)</f>
        <v>0</v>
      </c>
      <c r="M111" s="35">
        <f>SUM($H88:M88)</f>
        <v>0</v>
      </c>
      <c r="N111" s="35">
        <f>SUM($H88:N88)</f>
        <v>0</v>
      </c>
      <c r="O111" s="35">
        <f>SUM($H88:O88)</f>
        <v>0</v>
      </c>
      <c r="P111" s="35">
        <f>SUM($H88:P88)</f>
        <v>0</v>
      </c>
      <c r="Q111" s="35">
        <f>SUM($H88:Q88)</f>
        <v>0</v>
      </c>
    </row>
    <row r="112" spans="1:18" x14ac:dyDescent="0.25">
      <c r="A112" s="198" t="s">
        <v>168</v>
      </c>
      <c r="B112" s="435">
        <f t="shared" si="12"/>
        <v>0</v>
      </c>
      <c r="G112" s="210" t="s">
        <v>39</v>
      </c>
      <c r="H112" s="35">
        <f>SUM($H89:H89)</f>
        <v>0</v>
      </c>
      <c r="I112" s="35">
        <f>SUM($H89:I89)</f>
        <v>0</v>
      </c>
      <c r="J112" s="35">
        <f>SUM($H89:J89)</f>
        <v>0</v>
      </c>
      <c r="K112" s="35">
        <f>SUM($H89:K89)</f>
        <v>0</v>
      </c>
      <c r="L112" s="35">
        <f>SUM($H89:L89)</f>
        <v>0</v>
      </c>
      <c r="M112" s="35">
        <f>SUM($H89:M89)</f>
        <v>0</v>
      </c>
      <c r="N112" s="35">
        <f>SUM($H89:N89)</f>
        <v>0</v>
      </c>
      <c r="O112" s="35">
        <f>SUM($H89:O89)</f>
        <v>0</v>
      </c>
      <c r="P112" s="35">
        <f>SUM($H89:P89)</f>
        <v>0</v>
      </c>
      <c r="Q112" s="35">
        <f>SUM($H89:Q89)</f>
        <v>0</v>
      </c>
    </row>
    <row r="113" spans="1:18" x14ac:dyDescent="0.25">
      <c r="A113" s="198" t="s">
        <v>169</v>
      </c>
      <c r="B113" s="435">
        <f t="shared" si="12"/>
        <v>0</v>
      </c>
      <c r="G113" s="210" t="s">
        <v>39</v>
      </c>
      <c r="H113" s="35">
        <f>SUM($H90:H90)</f>
        <v>0</v>
      </c>
      <c r="I113" s="35">
        <f>SUM($H90:I90)</f>
        <v>0</v>
      </c>
      <c r="J113" s="35">
        <f>SUM($H90:J90)</f>
        <v>0</v>
      </c>
      <c r="K113" s="35">
        <f>SUM($H90:K90)</f>
        <v>0</v>
      </c>
      <c r="L113" s="35">
        <f>SUM($H90:L90)</f>
        <v>0</v>
      </c>
      <c r="M113" s="35">
        <f>SUM($H90:M90)</f>
        <v>0</v>
      </c>
      <c r="N113" s="35">
        <f>SUM($H90:N90)</f>
        <v>0</v>
      </c>
      <c r="O113" s="35">
        <f>SUM($H90:O90)</f>
        <v>0</v>
      </c>
      <c r="P113" s="35">
        <f>SUM($H90:P90)</f>
        <v>0</v>
      </c>
      <c r="Q113" s="35">
        <f>SUM($H90:Q90)</f>
        <v>0</v>
      </c>
    </row>
    <row r="114" spans="1:18" x14ac:dyDescent="0.25">
      <c r="A114" s="198" t="s">
        <v>170</v>
      </c>
      <c r="B114" s="435">
        <f t="shared" si="12"/>
        <v>0</v>
      </c>
      <c r="G114" s="210" t="s">
        <v>39</v>
      </c>
      <c r="H114" s="35">
        <f>SUM($H91:H91)</f>
        <v>0</v>
      </c>
      <c r="I114" s="35">
        <f>SUM($H91:I91)</f>
        <v>0</v>
      </c>
      <c r="J114" s="35">
        <f>SUM($H91:J91)</f>
        <v>0</v>
      </c>
      <c r="K114" s="35">
        <f>SUM($H91:K91)</f>
        <v>0</v>
      </c>
      <c r="L114" s="35">
        <f>SUM($H91:L91)</f>
        <v>0</v>
      </c>
      <c r="M114" s="35">
        <f>SUM($H91:M91)</f>
        <v>0</v>
      </c>
      <c r="N114" s="35">
        <f>SUM($H91:N91)</f>
        <v>0</v>
      </c>
      <c r="O114" s="35">
        <f>SUM($H91:O91)</f>
        <v>0</v>
      </c>
      <c r="P114" s="35">
        <f>SUM($H91:P91)</f>
        <v>0</v>
      </c>
      <c r="Q114" s="35">
        <f>SUM($H91:Q91)</f>
        <v>0</v>
      </c>
    </row>
    <row r="115" spans="1:18" x14ac:dyDescent="0.25">
      <c r="A115" s="198" t="s">
        <v>171</v>
      </c>
      <c r="B115" s="435">
        <f t="shared" si="12"/>
        <v>0</v>
      </c>
      <c r="G115" s="210" t="s">
        <v>39</v>
      </c>
      <c r="H115" s="35">
        <f>SUM($H92:H92)</f>
        <v>0</v>
      </c>
      <c r="I115" s="35">
        <f>SUM($H92:I92)</f>
        <v>0</v>
      </c>
      <c r="J115" s="35">
        <f>SUM($H92:J92)</f>
        <v>0</v>
      </c>
      <c r="K115" s="35">
        <f>SUM($H92:K92)</f>
        <v>0</v>
      </c>
      <c r="L115" s="35">
        <f>SUM($H92:L92)</f>
        <v>0</v>
      </c>
      <c r="M115" s="35">
        <f>SUM($H92:M92)</f>
        <v>0</v>
      </c>
      <c r="N115" s="35">
        <f>SUM($H92:N92)</f>
        <v>0</v>
      </c>
      <c r="O115" s="35">
        <f>SUM($H92:O92)</f>
        <v>0</v>
      </c>
      <c r="P115" s="35">
        <f>SUM($H92:P92)</f>
        <v>0</v>
      </c>
      <c r="Q115" s="35">
        <f>SUM($H92:Q92)</f>
        <v>0</v>
      </c>
    </row>
    <row r="116" spans="1:18" x14ac:dyDescent="0.25">
      <c r="A116" s="198" t="s">
        <v>172</v>
      </c>
      <c r="B116" s="435">
        <f t="shared" si="12"/>
        <v>0</v>
      </c>
      <c r="G116" s="210" t="s">
        <v>39</v>
      </c>
      <c r="H116" s="35">
        <f>SUM($H93:H93)</f>
        <v>0</v>
      </c>
      <c r="I116" s="35">
        <f>SUM($H93:I93)</f>
        <v>0</v>
      </c>
      <c r="J116" s="35">
        <f>SUM($H93:J93)</f>
        <v>0</v>
      </c>
      <c r="K116" s="35">
        <f>SUM($H93:K93)</f>
        <v>0</v>
      </c>
      <c r="L116" s="35">
        <f>SUM($H93:L93)</f>
        <v>0</v>
      </c>
      <c r="M116" s="35">
        <f>SUM($H93:M93)</f>
        <v>0</v>
      </c>
      <c r="N116" s="35">
        <f>SUM($H93:N93)</f>
        <v>0</v>
      </c>
      <c r="O116" s="35">
        <f>SUM($H93:O93)</f>
        <v>0</v>
      </c>
      <c r="P116" s="35">
        <f>SUM($H93:P93)</f>
        <v>0</v>
      </c>
      <c r="Q116" s="35">
        <f>SUM($H93:Q93)</f>
        <v>0</v>
      </c>
    </row>
    <row r="117" spans="1:18" x14ac:dyDescent="0.25">
      <c r="A117" s="198" t="s">
        <v>173</v>
      </c>
      <c r="B117" s="435">
        <f t="shared" si="12"/>
        <v>0</v>
      </c>
      <c r="G117" s="210" t="s">
        <v>39</v>
      </c>
      <c r="H117" s="35">
        <f>SUM($H94:H94)</f>
        <v>0</v>
      </c>
      <c r="I117" s="35">
        <f>SUM($H94:I94)</f>
        <v>0</v>
      </c>
      <c r="J117" s="35">
        <f>SUM($H94:J94)</f>
        <v>0</v>
      </c>
      <c r="K117" s="35">
        <f>SUM($H94:K94)</f>
        <v>0</v>
      </c>
      <c r="L117" s="35">
        <f>SUM($H94:L94)</f>
        <v>0</v>
      </c>
      <c r="M117" s="35">
        <f>SUM($H94:M94)</f>
        <v>0</v>
      </c>
      <c r="N117" s="35">
        <f>SUM($H94:N94)</f>
        <v>0</v>
      </c>
      <c r="O117" s="35">
        <f>SUM($H94:O94)</f>
        <v>0</v>
      </c>
      <c r="P117" s="35">
        <f>SUM($H94:P94)</f>
        <v>0</v>
      </c>
      <c r="Q117" s="35">
        <f>SUM($H94:Q94)</f>
        <v>0</v>
      </c>
    </row>
    <row r="118" spans="1:18" x14ac:dyDescent="0.25">
      <c r="A118" s="198" t="s">
        <v>174</v>
      </c>
      <c r="B118" s="435">
        <f t="shared" si="12"/>
        <v>0</v>
      </c>
      <c r="G118" s="210" t="s">
        <v>39</v>
      </c>
      <c r="H118" s="35">
        <f>SUM($H95:H95)</f>
        <v>0</v>
      </c>
      <c r="I118" s="35">
        <f>SUM($H95:I95)</f>
        <v>0</v>
      </c>
      <c r="J118" s="35">
        <f>SUM($H95:J95)</f>
        <v>0</v>
      </c>
      <c r="K118" s="35">
        <f>SUM($H95:K95)</f>
        <v>0</v>
      </c>
      <c r="L118" s="35">
        <f>SUM($H95:L95)</f>
        <v>0</v>
      </c>
      <c r="M118" s="35">
        <f>SUM($H95:M95)</f>
        <v>0</v>
      </c>
      <c r="N118" s="35">
        <f>SUM($H95:N95)</f>
        <v>0</v>
      </c>
      <c r="O118" s="35">
        <f>SUM($H95:O95)</f>
        <v>0</v>
      </c>
      <c r="P118" s="35">
        <f>SUM($H95:P95)</f>
        <v>0</v>
      </c>
      <c r="Q118" s="35">
        <f>SUM($H95:Q95)</f>
        <v>0</v>
      </c>
    </row>
    <row r="119" spans="1:18" x14ac:dyDescent="0.25">
      <c r="A119" s="198" t="s">
        <v>175</v>
      </c>
      <c r="B119" s="435">
        <f t="shared" si="12"/>
        <v>0</v>
      </c>
      <c r="G119" s="210" t="s">
        <v>39</v>
      </c>
      <c r="H119" s="35">
        <f>SUM($H96:H96)</f>
        <v>0</v>
      </c>
      <c r="I119" s="35">
        <f>SUM($H96:I96)</f>
        <v>0</v>
      </c>
      <c r="J119" s="35">
        <f>SUM($H96:J96)</f>
        <v>0</v>
      </c>
      <c r="K119" s="35">
        <f>SUM($H96:K96)</f>
        <v>0</v>
      </c>
      <c r="L119" s="35">
        <f>SUM($H96:L96)</f>
        <v>0</v>
      </c>
      <c r="M119" s="35">
        <f>SUM($H96:M96)</f>
        <v>0</v>
      </c>
      <c r="N119" s="35">
        <f>SUM($H96:N96)</f>
        <v>0</v>
      </c>
      <c r="O119" s="35">
        <f>SUM($H96:O96)</f>
        <v>0</v>
      </c>
      <c r="P119" s="35">
        <f>SUM($H96:P96)</f>
        <v>0</v>
      </c>
      <c r="Q119" s="35">
        <f>SUM($H96:Q96)</f>
        <v>0</v>
      </c>
    </row>
    <row r="120" spans="1:18" x14ac:dyDescent="0.25">
      <c r="A120" s="198" t="s">
        <v>176</v>
      </c>
      <c r="B120" s="223" t="str">
        <f t="shared" si="12"/>
        <v>Проценты на инвест.стадии (рассчитываются автоматически)</v>
      </c>
      <c r="G120" s="210" t="s">
        <v>39</v>
      </c>
      <c r="H120" s="35">
        <f>SUM($H97:H97)</f>
        <v>60</v>
      </c>
      <c r="I120" s="35">
        <f>SUM($H97:I97)</f>
        <v>60</v>
      </c>
      <c r="J120" s="35">
        <f>SUM($H97:J97)</f>
        <v>60</v>
      </c>
      <c r="K120" s="35">
        <f>SUM($H97:K97)</f>
        <v>60</v>
      </c>
      <c r="L120" s="35">
        <f>SUM($H97:L97)</f>
        <v>60</v>
      </c>
      <c r="M120" s="35">
        <f>SUM($H97:M97)</f>
        <v>60</v>
      </c>
      <c r="N120" s="35">
        <f>SUM($H97:N97)</f>
        <v>60</v>
      </c>
      <c r="O120" s="35">
        <f>SUM($H97:O97)</f>
        <v>60</v>
      </c>
      <c r="P120" s="35">
        <f>SUM($H97:P97)</f>
        <v>60</v>
      </c>
      <c r="Q120" s="35">
        <f>SUM($H97:Q97)</f>
        <v>60</v>
      </c>
    </row>
    <row r="121" spans="1:18" s="453" customFormat="1" ht="30" x14ac:dyDescent="0.25">
      <c r="A121" s="462" t="s">
        <v>177</v>
      </c>
      <c r="B121" s="466" t="str">
        <f t="shared" si="12"/>
        <v>Операционные расходы на инвест.стадии до получения выручки (рассчитываются автоматически)</v>
      </c>
      <c r="C121" s="31"/>
      <c r="D121" s="31"/>
      <c r="E121" s="31"/>
      <c r="F121" s="31"/>
      <c r="G121" s="210" t="s">
        <v>39</v>
      </c>
      <c r="H121" s="467">
        <f>SUM($H98:H98)</f>
        <v>135.03984077260276</v>
      </c>
      <c r="I121" s="467">
        <f>SUM($H98:I98)</f>
        <v>135.03984077260276</v>
      </c>
      <c r="J121" s="467">
        <f>SUM($H98:J98)</f>
        <v>135.03984077260276</v>
      </c>
      <c r="K121" s="467">
        <f>SUM($H98:K98)</f>
        <v>135.03984077260276</v>
      </c>
      <c r="L121" s="467">
        <f>SUM($H98:L98)</f>
        <v>135.03984077260276</v>
      </c>
      <c r="M121" s="467">
        <f>SUM($H98:M98)</f>
        <v>135.03984077260276</v>
      </c>
      <c r="N121" s="467">
        <f>SUM($H98:N98)</f>
        <v>135.03984077260276</v>
      </c>
      <c r="O121" s="467">
        <f>SUM($H98:O98)</f>
        <v>135.03984077260276</v>
      </c>
      <c r="P121" s="467">
        <f>SUM($H98:P98)</f>
        <v>135.03984077260276</v>
      </c>
      <c r="Q121" s="467">
        <f>SUM($H98:Q98)</f>
        <v>135.03984077260276</v>
      </c>
      <c r="R121" s="31"/>
    </row>
    <row r="122" spans="1:18" x14ac:dyDescent="0.25"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</row>
    <row r="123" spans="1:18" x14ac:dyDescent="0.25">
      <c r="B123" s="162" t="s">
        <v>229</v>
      </c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</row>
    <row r="124" spans="1:18" x14ac:dyDescent="0.25">
      <c r="A124" s="198" t="s">
        <v>151</v>
      </c>
      <c r="B124" s="435" t="str">
        <f>B102</f>
        <v>Здания и сооружения</v>
      </c>
      <c r="G124" s="210" t="s">
        <v>39</v>
      </c>
      <c r="H124" s="35">
        <f t="shared" ref="H124:Q124" si="13">H56-H102</f>
        <v>0</v>
      </c>
      <c r="I124" s="35">
        <f t="shared" si="13"/>
        <v>86311.424500000008</v>
      </c>
      <c r="J124" s="35">
        <f t="shared" si="13"/>
        <v>82752.190500000012</v>
      </c>
      <c r="K124" s="35">
        <f t="shared" si="13"/>
        <v>79192.9565</v>
      </c>
      <c r="L124" s="35">
        <f t="shared" si="13"/>
        <v>75633.722500000003</v>
      </c>
      <c r="M124" s="35">
        <f t="shared" si="13"/>
        <v>72074.488500000007</v>
      </c>
      <c r="N124" s="35">
        <f t="shared" si="13"/>
        <v>68515.25450000001</v>
      </c>
      <c r="O124" s="35">
        <f t="shared" si="13"/>
        <v>64956.020499999999</v>
      </c>
      <c r="P124" s="35">
        <f t="shared" si="13"/>
        <v>61396.786500000002</v>
      </c>
      <c r="Q124" s="35">
        <f t="shared" si="13"/>
        <v>57837.552500000005</v>
      </c>
      <c r="R124" s="210"/>
    </row>
    <row r="125" spans="1:18" x14ac:dyDescent="0.25">
      <c r="A125" s="198" t="s">
        <v>152</v>
      </c>
      <c r="B125" s="435" t="str">
        <f t="shared" ref="B125:B143" si="14">B103</f>
        <v>Инженерные сети</v>
      </c>
      <c r="G125" s="210" t="s">
        <v>39</v>
      </c>
      <c r="H125" s="35">
        <f t="shared" ref="H125:Q125" si="15">H57-H103</f>
        <v>0</v>
      </c>
      <c r="I125" s="35">
        <f t="shared" si="15"/>
        <v>5013.3509999999997</v>
      </c>
      <c r="J125" s="35">
        <f t="shared" si="15"/>
        <v>4456.3119999999999</v>
      </c>
      <c r="K125" s="35">
        <f t="shared" si="15"/>
        <v>3899.2729999999992</v>
      </c>
      <c r="L125" s="35">
        <f t="shared" si="15"/>
        <v>3342.2339999999995</v>
      </c>
      <c r="M125" s="35">
        <f t="shared" si="15"/>
        <v>2785.1949999999997</v>
      </c>
      <c r="N125" s="35">
        <f t="shared" si="15"/>
        <v>2228.1559999999999</v>
      </c>
      <c r="O125" s="35">
        <f t="shared" si="15"/>
        <v>1671.1170000000002</v>
      </c>
      <c r="P125" s="35">
        <f t="shared" si="15"/>
        <v>1114.0780000000004</v>
      </c>
      <c r="Q125" s="35">
        <f t="shared" si="15"/>
        <v>557.03900000000067</v>
      </c>
      <c r="R125" s="210"/>
    </row>
    <row r="126" spans="1:18" x14ac:dyDescent="0.25">
      <c r="A126" s="198" t="s">
        <v>153</v>
      </c>
      <c r="B126" s="435" t="str">
        <f t="shared" si="14"/>
        <v>Оборудование</v>
      </c>
      <c r="G126" s="210" t="s">
        <v>39</v>
      </c>
      <c r="H126" s="35">
        <f t="shared" ref="H126:Q126" si="16">H58-H104</f>
        <v>0</v>
      </c>
      <c r="I126" s="35">
        <f t="shared" si="16"/>
        <v>31257.764999999999</v>
      </c>
      <c r="J126" s="35">
        <f t="shared" si="16"/>
        <v>29972.723550000002</v>
      </c>
      <c r="K126" s="35">
        <f t="shared" si="16"/>
        <v>26256.5226</v>
      </c>
      <c r="L126" s="35">
        <f t="shared" si="16"/>
        <v>22540.321649999998</v>
      </c>
      <c r="M126" s="35">
        <f t="shared" si="16"/>
        <v>18824.120699999999</v>
      </c>
      <c r="N126" s="35">
        <f t="shared" si="16"/>
        <v>15107.919750000001</v>
      </c>
      <c r="O126" s="35">
        <f t="shared" si="16"/>
        <v>11391.718800000002</v>
      </c>
      <c r="P126" s="35">
        <f t="shared" si="16"/>
        <v>7675.5178500000038</v>
      </c>
      <c r="Q126" s="35">
        <f t="shared" si="16"/>
        <v>3959.3169000000053</v>
      </c>
      <c r="R126" s="210"/>
    </row>
    <row r="127" spans="1:18" x14ac:dyDescent="0.25">
      <c r="A127" s="198" t="s">
        <v>154</v>
      </c>
      <c r="B127" s="435" t="str">
        <f t="shared" si="14"/>
        <v>Транспорт</v>
      </c>
      <c r="G127" s="210" t="s">
        <v>39</v>
      </c>
      <c r="H127" s="35">
        <f t="shared" ref="H127:Q127" si="17">H59-H105</f>
        <v>0</v>
      </c>
      <c r="I127" s="35">
        <f t="shared" si="17"/>
        <v>23153.899999999998</v>
      </c>
      <c r="J127" s="35">
        <f t="shared" si="17"/>
        <v>17365.424999999996</v>
      </c>
      <c r="K127" s="35">
        <f t="shared" si="17"/>
        <v>11576.949999999997</v>
      </c>
      <c r="L127" s="35">
        <f t="shared" si="17"/>
        <v>5788.4749999999985</v>
      </c>
      <c r="M127" s="35">
        <f t="shared" si="17"/>
        <v>0</v>
      </c>
      <c r="N127" s="35">
        <f t="shared" si="17"/>
        <v>0</v>
      </c>
      <c r="O127" s="35">
        <f t="shared" si="17"/>
        <v>0</v>
      </c>
      <c r="P127" s="35">
        <f t="shared" si="17"/>
        <v>0</v>
      </c>
      <c r="Q127" s="35">
        <f t="shared" si="17"/>
        <v>0</v>
      </c>
      <c r="R127" s="210"/>
    </row>
    <row r="128" spans="1:18" x14ac:dyDescent="0.25">
      <c r="A128" s="198" t="s">
        <v>155</v>
      </c>
      <c r="B128" s="435" t="str">
        <f t="shared" si="14"/>
        <v>Дороги</v>
      </c>
      <c r="G128" s="210" t="s">
        <v>39</v>
      </c>
      <c r="H128" s="35">
        <f t="shared" ref="H128:Q128" si="18">H60-H106</f>
        <v>5208</v>
      </c>
      <c r="I128" s="35">
        <f t="shared" si="18"/>
        <v>27409.269999999997</v>
      </c>
      <c r="J128" s="35">
        <f t="shared" si="18"/>
        <v>26456.639999999999</v>
      </c>
      <c r="K128" s="35">
        <f t="shared" si="18"/>
        <v>25504.01</v>
      </c>
      <c r="L128" s="35">
        <f t="shared" si="18"/>
        <v>24551.379999999997</v>
      </c>
      <c r="M128" s="35">
        <f t="shared" si="18"/>
        <v>23598.75</v>
      </c>
      <c r="N128" s="35">
        <f t="shared" si="18"/>
        <v>22646.12</v>
      </c>
      <c r="O128" s="35">
        <f t="shared" si="18"/>
        <v>21693.489999999998</v>
      </c>
      <c r="P128" s="35">
        <f t="shared" si="18"/>
        <v>20740.859999999997</v>
      </c>
      <c r="Q128" s="35">
        <f t="shared" si="18"/>
        <v>19788.229999999996</v>
      </c>
      <c r="R128" s="210"/>
    </row>
    <row r="129" spans="1:18" x14ac:dyDescent="0.25">
      <c r="A129" s="198" t="s">
        <v>156</v>
      </c>
      <c r="B129" s="435" t="str">
        <f t="shared" si="14"/>
        <v>HMA</v>
      </c>
      <c r="G129" s="210" t="s">
        <v>39</v>
      </c>
      <c r="H129" s="35">
        <f t="shared" ref="H129:Q129" si="19">H61-H107</f>
        <v>0</v>
      </c>
      <c r="I129" s="35">
        <f t="shared" si="19"/>
        <v>926.15599999999995</v>
      </c>
      <c r="J129" s="35">
        <f t="shared" si="19"/>
        <v>694.61699999999996</v>
      </c>
      <c r="K129" s="35">
        <f t="shared" si="19"/>
        <v>463.07799999999997</v>
      </c>
      <c r="L129" s="35">
        <f t="shared" si="19"/>
        <v>231.53899999999999</v>
      </c>
      <c r="M129" s="35">
        <f t="shared" si="19"/>
        <v>0</v>
      </c>
      <c r="N129" s="35">
        <f t="shared" si="19"/>
        <v>0</v>
      </c>
      <c r="O129" s="35">
        <f t="shared" si="19"/>
        <v>0</v>
      </c>
      <c r="P129" s="35">
        <f t="shared" si="19"/>
        <v>0</v>
      </c>
      <c r="Q129" s="35">
        <f t="shared" si="19"/>
        <v>0</v>
      </c>
      <c r="R129" s="210"/>
    </row>
    <row r="130" spans="1:18" x14ac:dyDescent="0.25">
      <c r="A130" s="198" t="s">
        <v>157</v>
      </c>
      <c r="B130" s="435" t="str">
        <f t="shared" si="14"/>
        <v>Подготовительные расходы (ПИР, СМР)</v>
      </c>
      <c r="G130" s="210" t="s">
        <v>39</v>
      </c>
      <c r="H130" s="35">
        <f t="shared" ref="H130:Q130" si="20">H62-H108</f>
        <v>3124.8</v>
      </c>
      <c r="I130" s="35">
        <f t="shared" si="20"/>
        <v>5440.19</v>
      </c>
      <c r="J130" s="35">
        <f t="shared" si="20"/>
        <v>5440.19</v>
      </c>
      <c r="K130" s="35">
        <f t="shared" si="20"/>
        <v>5440.19</v>
      </c>
      <c r="L130" s="35">
        <f t="shared" si="20"/>
        <v>5440.19</v>
      </c>
      <c r="M130" s="35">
        <f t="shared" si="20"/>
        <v>5440.19</v>
      </c>
      <c r="N130" s="35">
        <f t="shared" si="20"/>
        <v>5440.19</v>
      </c>
      <c r="O130" s="35">
        <f t="shared" si="20"/>
        <v>5440.19</v>
      </c>
      <c r="P130" s="35">
        <f t="shared" si="20"/>
        <v>5440.19</v>
      </c>
      <c r="Q130" s="35">
        <f t="shared" si="20"/>
        <v>5440.19</v>
      </c>
      <c r="R130" s="210"/>
    </row>
    <row r="131" spans="1:18" x14ac:dyDescent="0.25">
      <c r="A131" s="198" t="s">
        <v>158</v>
      </c>
      <c r="B131" s="435">
        <f t="shared" si="14"/>
        <v>0</v>
      </c>
      <c r="G131" s="210" t="s">
        <v>39</v>
      </c>
      <c r="H131" s="35">
        <f t="shared" ref="H131:Q131" si="21">H63-H109</f>
        <v>0</v>
      </c>
      <c r="I131" s="35">
        <f t="shared" si="21"/>
        <v>0</v>
      </c>
      <c r="J131" s="35">
        <f t="shared" si="21"/>
        <v>0</v>
      </c>
      <c r="K131" s="35">
        <f t="shared" si="21"/>
        <v>0</v>
      </c>
      <c r="L131" s="35">
        <f t="shared" si="21"/>
        <v>0</v>
      </c>
      <c r="M131" s="35">
        <f t="shared" si="21"/>
        <v>0</v>
      </c>
      <c r="N131" s="35">
        <f t="shared" si="21"/>
        <v>0</v>
      </c>
      <c r="O131" s="35">
        <f t="shared" si="21"/>
        <v>0</v>
      </c>
      <c r="P131" s="35">
        <f t="shared" si="21"/>
        <v>0</v>
      </c>
      <c r="Q131" s="35">
        <f t="shared" si="21"/>
        <v>0</v>
      </c>
      <c r="R131" s="210"/>
    </row>
    <row r="132" spans="1:18" x14ac:dyDescent="0.25">
      <c r="A132" s="198" t="s">
        <v>159</v>
      </c>
      <c r="B132" s="435">
        <f t="shared" si="14"/>
        <v>0</v>
      </c>
      <c r="G132" s="210" t="s">
        <v>39</v>
      </c>
      <c r="H132" s="35">
        <f t="shared" ref="H132:Q132" si="22">H64-H110</f>
        <v>0</v>
      </c>
      <c r="I132" s="35">
        <f t="shared" si="22"/>
        <v>0</v>
      </c>
      <c r="J132" s="35">
        <f t="shared" si="22"/>
        <v>0</v>
      </c>
      <c r="K132" s="35">
        <f t="shared" si="22"/>
        <v>0</v>
      </c>
      <c r="L132" s="35">
        <f t="shared" si="22"/>
        <v>0</v>
      </c>
      <c r="M132" s="35">
        <f t="shared" si="22"/>
        <v>0</v>
      </c>
      <c r="N132" s="35">
        <f t="shared" si="22"/>
        <v>0</v>
      </c>
      <c r="O132" s="35">
        <f t="shared" si="22"/>
        <v>0</v>
      </c>
      <c r="P132" s="35">
        <f t="shared" si="22"/>
        <v>0</v>
      </c>
      <c r="Q132" s="35">
        <f t="shared" si="22"/>
        <v>0</v>
      </c>
      <c r="R132" s="210"/>
    </row>
    <row r="133" spans="1:18" x14ac:dyDescent="0.25">
      <c r="A133" s="198" t="s">
        <v>160</v>
      </c>
      <c r="B133" s="435">
        <f t="shared" si="14"/>
        <v>0</v>
      </c>
      <c r="G133" s="210" t="s">
        <v>39</v>
      </c>
      <c r="H133" s="35">
        <f t="shared" ref="H133:Q133" si="23">H65-H111</f>
        <v>0</v>
      </c>
      <c r="I133" s="35">
        <f t="shared" si="23"/>
        <v>0</v>
      </c>
      <c r="J133" s="35">
        <f t="shared" si="23"/>
        <v>0</v>
      </c>
      <c r="K133" s="35">
        <f t="shared" si="23"/>
        <v>0</v>
      </c>
      <c r="L133" s="35">
        <f t="shared" si="23"/>
        <v>0</v>
      </c>
      <c r="M133" s="35">
        <f t="shared" si="23"/>
        <v>0</v>
      </c>
      <c r="N133" s="35">
        <f t="shared" si="23"/>
        <v>0</v>
      </c>
      <c r="O133" s="35">
        <f t="shared" si="23"/>
        <v>0</v>
      </c>
      <c r="P133" s="35">
        <f t="shared" si="23"/>
        <v>0</v>
      </c>
      <c r="Q133" s="35">
        <f t="shared" si="23"/>
        <v>0</v>
      </c>
      <c r="R133" s="210"/>
    </row>
    <row r="134" spans="1:18" x14ac:dyDescent="0.25">
      <c r="A134" s="198" t="s">
        <v>168</v>
      </c>
      <c r="B134" s="435">
        <f t="shared" si="14"/>
        <v>0</v>
      </c>
      <c r="G134" s="210" t="s">
        <v>39</v>
      </c>
      <c r="H134" s="35">
        <f t="shared" ref="H134:Q134" si="24">H66-H112</f>
        <v>0</v>
      </c>
      <c r="I134" s="35">
        <f t="shared" si="24"/>
        <v>0</v>
      </c>
      <c r="J134" s="35">
        <f t="shared" si="24"/>
        <v>0</v>
      </c>
      <c r="K134" s="35">
        <f t="shared" si="24"/>
        <v>0</v>
      </c>
      <c r="L134" s="35">
        <f t="shared" si="24"/>
        <v>0</v>
      </c>
      <c r="M134" s="35">
        <f t="shared" si="24"/>
        <v>0</v>
      </c>
      <c r="N134" s="35">
        <f t="shared" si="24"/>
        <v>0</v>
      </c>
      <c r="O134" s="35">
        <f t="shared" si="24"/>
        <v>0</v>
      </c>
      <c r="P134" s="35">
        <f t="shared" si="24"/>
        <v>0</v>
      </c>
      <c r="Q134" s="35">
        <f t="shared" si="24"/>
        <v>0</v>
      </c>
      <c r="R134" s="210"/>
    </row>
    <row r="135" spans="1:18" x14ac:dyDescent="0.25">
      <c r="A135" s="198" t="s">
        <v>169</v>
      </c>
      <c r="B135" s="435">
        <f t="shared" si="14"/>
        <v>0</v>
      </c>
      <c r="G135" s="210" t="s">
        <v>39</v>
      </c>
      <c r="H135" s="35">
        <f t="shared" ref="H135:Q135" si="25">H67-H113</f>
        <v>0</v>
      </c>
      <c r="I135" s="35">
        <f t="shared" si="25"/>
        <v>0</v>
      </c>
      <c r="J135" s="35">
        <f t="shared" si="25"/>
        <v>0</v>
      </c>
      <c r="K135" s="35">
        <f t="shared" si="25"/>
        <v>0</v>
      </c>
      <c r="L135" s="35">
        <f t="shared" si="25"/>
        <v>0</v>
      </c>
      <c r="M135" s="35">
        <f t="shared" si="25"/>
        <v>0</v>
      </c>
      <c r="N135" s="35">
        <f t="shared" si="25"/>
        <v>0</v>
      </c>
      <c r="O135" s="35">
        <f t="shared" si="25"/>
        <v>0</v>
      </c>
      <c r="P135" s="35">
        <f t="shared" si="25"/>
        <v>0</v>
      </c>
      <c r="Q135" s="35">
        <f t="shared" si="25"/>
        <v>0</v>
      </c>
      <c r="R135" s="210"/>
    </row>
    <row r="136" spans="1:18" x14ac:dyDescent="0.25">
      <c r="A136" s="198" t="s">
        <v>170</v>
      </c>
      <c r="B136" s="435">
        <f t="shared" si="14"/>
        <v>0</v>
      </c>
      <c r="G136" s="210" t="s">
        <v>39</v>
      </c>
      <c r="H136" s="35">
        <f t="shared" ref="H136:Q136" si="26">H68-H114</f>
        <v>0</v>
      </c>
      <c r="I136" s="35">
        <f t="shared" si="26"/>
        <v>0</v>
      </c>
      <c r="J136" s="35">
        <f t="shared" si="26"/>
        <v>0</v>
      </c>
      <c r="K136" s="35">
        <f t="shared" si="26"/>
        <v>0</v>
      </c>
      <c r="L136" s="35">
        <f t="shared" si="26"/>
        <v>0</v>
      </c>
      <c r="M136" s="35">
        <f t="shared" si="26"/>
        <v>0</v>
      </c>
      <c r="N136" s="35">
        <f t="shared" si="26"/>
        <v>0</v>
      </c>
      <c r="O136" s="35">
        <f t="shared" si="26"/>
        <v>0</v>
      </c>
      <c r="P136" s="35">
        <f t="shared" si="26"/>
        <v>0</v>
      </c>
      <c r="Q136" s="35">
        <f t="shared" si="26"/>
        <v>0</v>
      </c>
      <c r="R136" s="210"/>
    </row>
    <row r="137" spans="1:18" x14ac:dyDescent="0.25">
      <c r="A137" s="198" t="s">
        <v>171</v>
      </c>
      <c r="B137" s="435">
        <f t="shared" si="14"/>
        <v>0</v>
      </c>
      <c r="G137" s="210" t="s">
        <v>39</v>
      </c>
      <c r="H137" s="35">
        <f t="shared" ref="H137:Q137" si="27">H69-H115</f>
        <v>0</v>
      </c>
      <c r="I137" s="35">
        <f t="shared" si="27"/>
        <v>0</v>
      </c>
      <c r="J137" s="35">
        <f t="shared" si="27"/>
        <v>0</v>
      </c>
      <c r="K137" s="35">
        <f t="shared" si="27"/>
        <v>0</v>
      </c>
      <c r="L137" s="35">
        <f t="shared" si="27"/>
        <v>0</v>
      </c>
      <c r="M137" s="35">
        <f t="shared" si="27"/>
        <v>0</v>
      </c>
      <c r="N137" s="35">
        <f t="shared" si="27"/>
        <v>0</v>
      </c>
      <c r="O137" s="35">
        <f t="shared" si="27"/>
        <v>0</v>
      </c>
      <c r="P137" s="35">
        <f t="shared" si="27"/>
        <v>0</v>
      </c>
      <c r="Q137" s="35">
        <f t="shared" si="27"/>
        <v>0</v>
      </c>
      <c r="R137" s="210"/>
    </row>
    <row r="138" spans="1:18" x14ac:dyDescent="0.25">
      <c r="A138" s="198" t="s">
        <v>172</v>
      </c>
      <c r="B138" s="435">
        <f t="shared" si="14"/>
        <v>0</v>
      </c>
      <c r="G138" s="210" t="s">
        <v>39</v>
      </c>
      <c r="H138" s="35">
        <f t="shared" ref="H138:Q138" si="28">H70-H116</f>
        <v>0</v>
      </c>
      <c r="I138" s="35">
        <f t="shared" si="28"/>
        <v>0</v>
      </c>
      <c r="J138" s="35">
        <f t="shared" si="28"/>
        <v>0</v>
      </c>
      <c r="K138" s="35">
        <f t="shared" si="28"/>
        <v>0</v>
      </c>
      <c r="L138" s="35">
        <f t="shared" si="28"/>
        <v>0</v>
      </c>
      <c r="M138" s="35">
        <f t="shared" si="28"/>
        <v>0</v>
      </c>
      <c r="N138" s="35">
        <f t="shared" si="28"/>
        <v>0</v>
      </c>
      <c r="O138" s="35">
        <f t="shared" si="28"/>
        <v>0</v>
      </c>
      <c r="P138" s="35">
        <f t="shared" si="28"/>
        <v>0</v>
      </c>
      <c r="Q138" s="35">
        <f t="shared" si="28"/>
        <v>0</v>
      </c>
      <c r="R138" s="210"/>
    </row>
    <row r="139" spans="1:18" x14ac:dyDescent="0.25">
      <c r="A139" s="198" t="s">
        <v>173</v>
      </c>
      <c r="B139" s="435">
        <f t="shared" si="14"/>
        <v>0</v>
      </c>
      <c r="G139" s="210" t="s">
        <v>39</v>
      </c>
      <c r="H139" s="35">
        <f t="shared" ref="H139:Q139" si="29">H71-H117</f>
        <v>0</v>
      </c>
      <c r="I139" s="35">
        <f t="shared" si="29"/>
        <v>0</v>
      </c>
      <c r="J139" s="35">
        <f t="shared" si="29"/>
        <v>0</v>
      </c>
      <c r="K139" s="35">
        <f t="shared" si="29"/>
        <v>0</v>
      </c>
      <c r="L139" s="35">
        <f t="shared" si="29"/>
        <v>0</v>
      </c>
      <c r="M139" s="35">
        <f t="shared" si="29"/>
        <v>0</v>
      </c>
      <c r="N139" s="35">
        <f t="shared" si="29"/>
        <v>0</v>
      </c>
      <c r="O139" s="35">
        <f t="shared" si="29"/>
        <v>0</v>
      </c>
      <c r="P139" s="35">
        <f t="shared" si="29"/>
        <v>0</v>
      </c>
      <c r="Q139" s="35">
        <f t="shared" si="29"/>
        <v>0</v>
      </c>
      <c r="R139" s="210"/>
    </row>
    <row r="140" spans="1:18" x14ac:dyDescent="0.25">
      <c r="A140" s="198" t="s">
        <v>174</v>
      </c>
      <c r="B140" s="435">
        <f t="shared" si="14"/>
        <v>0</v>
      </c>
      <c r="G140" s="210" t="s">
        <v>39</v>
      </c>
      <c r="H140" s="35">
        <f t="shared" ref="H140:Q140" si="30">H72-H118</f>
        <v>0</v>
      </c>
      <c r="I140" s="35">
        <f t="shared" si="30"/>
        <v>0</v>
      </c>
      <c r="J140" s="35">
        <f t="shared" si="30"/>
        <v>0</v>
      </c>
      <c r="K140" s="35">
        <f t="shared" si="30"/>
        <v>0</v>
      </c>
      <c r="L140" s="35">
        <f t="shared" si="30"/>
        <v>0</v>
      </c>
      <c r="M140" s="35">
        <f t="shared" si="30"/>
        <v>0</v>
      </c>
      <c r="N140" s="35">
        <f t="shared" si="30"/>
        <v>0</v>
      </c>
      <c r="O140" s="35">
        <f t="shared" si="30"/>
        <v>0</v>
      </c>
      <c r="P140" s="35">
        <f t="shared" si="30"/>
        <v>0</v>
      </c>
      <c r="Q140" s="35">
        <f t="shared" si="30"/>
        <v>0</v>
      </c>
      <c r="R140" s="210"/>
    </row>
    <row r="141" spans="1:18" x14ac:dyDescent="0.25">
      <c r="A141" s="198" t="s">
        <v>175</v>
      </c>
      <c r="B141" s="435">
        <f t="shared" si="14"/>
        <v>0</v>
      </c>
      <c r="G141" s="210" t="s">
        <v>39</v>
      </c>
      <c r="H141" s="35">
        <f t="shared" ref="H141:Q141" si="31">H73-H119</f>
        <v>0</v>
      </c>
      <c r="I141" s="35">
        <f t="shared" si="31"/>
        <v>0</v>
      </c>
      <c r="J141" s="35">
        <f t="shared" si="31"/>
        <v>0</v>
      </c>
      <c r="K141" s="35">
        <f t="shared" si="31"/>
        <v>0</v>
      </c>
      <c r="L141" s="35">
        <f t="shared" si="31"/>
        <v>0</v>
      </c>
      <c r="M141" s="35">
        <f t="shared" si="31"/>
        <v>0</v>
      </c>
      <c r="N141" s="35">
        <f t="shared" si="31"/>
        <v>0</v>
      </c>
      <c r="O141" s="35">
        <f t="shared" si="31"/>
        <v>0</v>
      </c>
      <c r="P141" s="35">
        <f t="shared" si="31"/>
        <v>0</v>
      </c>
      <c r="Q141" s="35">
        <f t="shared" si="31"/>
        <v>0</v>
      </c>
      <c r="R141" s="210"/>
    </row>
    <row r="142" spans="1:18" x14ac:dyDescent="0.25">
      <c r="A142" s="198" t="s">
        <v>176</v>
      </c>
      <c r="B142" s="223" t="str">
        <f t="shared" si="14"/>
        <v>Проценты на инвест.стадии (рассчитываются автоматически)</v>
      </c>
      <c r="G142" s="210" t="s">
        <v>39</v>
      </c>
      <c r="H142" s="35">
        <f t="shared" ref="H142:Q142" si="32">H74-H120</f>
        <v>1440</v>
      </c>
      <c r="I142" s="35">
        <f t="shared" si="32"/>
        <v>1440</v>
      </c>
      <c r="J142" s="35">
        <f t="shared" si="32"/>
        <v>1440</v>
      </c>
      <c r="K142" s="35">
        <f t="shared" si="32"/>
        <v>1440</v>
      </c>
      <c r="L142" s="35">
        <f t="shared" si="32"/>
        <v>1440</v>
      </c>
      <c r="M142" s="35">
        <f t="shared" si="32"/>
        <v>1440</v>
      </c>
      <c r="N142" s="35">
        <f t="shared" si="32"/>
        <v>1440</v>
      </c>
      <c r="O142" s="35">
        <f t="shared" si="32"/>
        <v>1440</v>
      </c>
      <c r="P142" s="35">
        <f t="shared" si="32"/>
        <v>1440</v>
      </c>
      <c r="Q142" s="35">
        <f t="shared" si="32"/>
        <v>1440</v>
      </c>
      <c r="R142" s="210"/>
    </row>
    <row r="143" spans="1:18" s="453" customFormat="1" ht="30" x14ac:dyDescent="0.25">
      <c r="A143" s="462" t="s">
        <v>177</v>
      </c>
      <c r="B143" s="463" t="str">
        <f t="shared" si="14"/>
        <v>Операционные расходы на инвест.стадии до получения выручки (рассчитываются автоматически)</v>
      </c>
      <c r="C143" s="464"/>
      <c r="D143" s="464"/>
      <c r="E143" s="464"/>
      <c r="F143" s="464"/>
      <c r="G143" s="45" t="s">
        <v>39</v>
      </c>
      <c r="H143" s="465">
        <f t="shared" ref="H143:Q143" si="33">H75-H121</f>
        <v>3240.9561785424662</v>
      </c>
      <c r="I143" s="465">
        <f t="shared" si="33"/>
        <v>3240.9561785424662</v>
      </c>
      <c r="J143" s="465">
        <f t="shared" si="33"/>
        <v>3240.9561785424662</v>
      </c>
      <c r="K143" s="465">
        <f t="shared" si="33"/>
        <v>3240.9561785424662</v>
      </c>
      <c r="L143" s="465">
        <f t="shared" si="33"/>
        <v>3240.9561785424662</v>
      </c>
      <c r="M143" s="465">
        <f t="shared" si="33"/>
        <v>3240.9561785424662</v>
      </c>
      <c r="N143" s="465">
        <f t="shared" si="33"/>
        <v>3240.9561785424662</v>
      </c>
      <c r="O143" s="465">
        <f t="shared" si="33"/>
        <v>3240.9561785424662</v>
      </c>
      <c r="P143" s="465">
        <f t="shared" si="33"/>
        <v>3240.9561785424662</v>
      </c>
      <c r="Q143" s="465">
        <f t="shared" si="33"/>
        <v>3240.9561785424662</v>
      </c>
      <c r="R143" s="210"/>
    </row>
    <row r="144" spans="1:18" x14ac:dyDescent="0.25">
      <c r="A144" s="200"/>
      <c r="B144" s="14" t="s">
        <v>196</v>
      </c>
      <c r="C144" s="17"/>
      <c r="D144" s="17"/>
      <c r="E144" s="17"/>
      <c r="F144" s="17"/>
      <c r="G144" s="15" t="s">
        <v>39</v>
      </c>
      <c r="H144" s="222">
        <f>SUM(H124:H143)</f>
        <v>13013.756178542466</v>
      </c>
      <c r="I144" s="222">
        <f t="shared" ref="I144:Q144" si="34">SUM(I124:I143)</f>
        <v>184193.01267854244</v>
      </c>
      <c r="J144" s="222">
        <f t="shared" si="34"/>
        <v>171819.05422854246</v>
      </c>
      <c r="K144" s="222">
        <f t="shared" si="34"/>
        <v>157013.93627854247</v>
      </c>
      <c r="L144" s="222">
        <f t="shared" si="34"/>
        <v>142208.81832854246</v>
      </c>
      <c r="M144" s="222">
        <f t="shared" si="34"/>
        <v>127403.70037854247</v>
      </c>
      <c r="N144" s="222">
        <f t="shared" si="34"/>
        <v>118618.59642854247</v>
      </c>
      <c r="O144" s="222">
        <f t="shared" si="34"/>
        <v>109833.49247854247</v>
      </c>
      <c r="P144" s="222">
        <f>SUM(P124:P143)</f>
        <v>101048.38852854246</v>
      </c>
      <c r="Q144" s="222">
        <f t="shared" si="34"/>
        <v>92263.284578542472</v>
      </c>
      <c r="R144" s="210"/>
    </row>
    <row r="145" spans="2:18" x14ac:dyDescent="0.25">
      <c r="B145" s="162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</row>
    <row r="146" spans="2:18" x14ac:dyDescent="0.25">
      <c r="B146" s="162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</row>
    <row r="147" spans="2:18" x14ac:dyDescent="0.25"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</row>
    <row r="148" spans="2:18" x14ac:dyDescent="0.25"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60"/>
  <sheetViews>
    <sheetView showGridLines="0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6" sqref="F6"/>
    </sheetView>
  </sheetViews>
  <sheetFormatPr defaultColWidth="8.85546875" defaultRowHeight="15" x14ac:dyDescent="0.25"/>
  <cols>
    <col min="1" max="1" width="55.28515625" style="7" customWidth="1"/>
    <col min="2" max="2" width="8.85546875" style="7"/>
    <col min="3" max="3" width="13.7109375" style="7" customWidth="1"/>
    <col min="4" max="4" width="2.42578125" style="7" customWidth="1"/>
    <col min="5" max="5" width="8.42578125" style="7" customWidth="1"/>
    <col min="6" max="6" width="9.42578125" style="7" customWidth="1"/>
    <col min="7" max="15" width="8.7109375" style="7" customWidth="1"/>
    <col min="16" max="16" width="8.7109375" style="245" customWidth="1"/>
  </cols>
  <sheetData>
    <row r="1" spans="1:16" x14ac:dyDescent="0.25">
      <c r="B1" s="2"/>
      <c r="C1" s="2"/>
      <c r="D1" s="3"/>
      <c r="E1" s="2" t="s">
        <v>52</v>
      </c>
      <c r="F1" s="2">
        <f>Предпосылки!G24</f>
        <v>2022</v>
      </c>
      <c r="G1" s="2">
        <f>Предпосылки!H24</f>
        <v>2023</v>
      </c>
      <c r="H1" s="2">
        <f>Предпосылки!I24</f>
        <v>2024</v>
      </c>
      <c r="I1" s="2">
        <f>Предпосылки!J24</f>
        <v>2025</v>
      </c>
      <c r="J1" s="2">
        <f>Предпосылки!K24</f>
        <v>2026</v>
      </c>
      <c r="K1" s="2">
        <f>Предпосылки!L24</f>
        <v>2027</v>
      </c>
      <c r="L1" s="2">
        <f>Предпосылки!M24</f>
        <v>2028</v>
      </c>
      <c r="M1" s="2">
        <f>Предпосылки!N24</f>
        <v>2029</v>
      </c>
      <c r="N1" s="2">
        <f>Предпосылки!O24</f>
        <v>2030</v>
      </c>
      <c r="O1" s="2">
        <f>Предпосылки!P24</f>
        <v>2031</v>
      </c>
      <c r="P1" s="2" t="s">
        <v>6</v>
      </c>
    </row>
    <row r="2" spans="1:16" x14ac:dyDescent="0.25">
      <c r="B2" s="2"/>
      <c r="C2" s="2"/>
      <c r="D2" s="3"/>
      <c r="E2" s="2"/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  <c r="P2" s="4"/>
    </row>
    <row r="3" spans="1:16" x14ac:dyDescent="0.25">
      <c r="A3" s="189" t="s">
        <v>207</v>
      </c>
      <c r="B3" s="191"/>
      <c r="C3" s="191"/>
      <c r="D3" s="6"/>
      <c r="E3" s="189"/>
      <c r="F3" s="191"/>
      <c r="G3" s="191"/>
      <c r="H3" s="189"/>
      <c r="I3" s="191"/>
      <c r="J3" s="191"/>
      <c r="K3" s="189"/>
      <c r="L3" s="191"/>
      <c r="M3" s="191"/>
      <c r="N3" s="189"/>
      <c r="O3" s="191"/>
      <c r="P3" s="243"/>
    </row>
    <row r="4" spans="1:16" s="233" customFormat="1" x14ac:dyDescent="0.25">
      <c r="A4" s="230"/>
      <c r="B4" s="231"/>
      <c r="C4" s="231"/>
      <c r="D4" s="232"/>
      <c r="E4" s="230"/>
      <c r="F4" s="231"/>
      <c r="G4" s="231"/>
      <c r="H4" s="230"/>
      <c r="I4" s="231"/>
      <c r="J4" s="231"/>
      <c r="K4" s="230"/>
      <c r="L4" s="231"/>
      <c r="M4" s="231"/>
      <c r="N4" s="230"/>
      <c r="O4" s="231"/>
      <c r="P4" s="232"/>
    </row>
    <row r="5" spans="1:16" x14ac:dyDescent="0.25">
      <c r="A5" s="17" t="s">
        <v>238</v>
      </c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7" t="s">
        <v>300</v>
      </c>
      <c r="B6" s="2"/>
      <c r="C6" s="2"/>
      <c r="D6" s="3"/>
      <c r="E6" s="39" t="s">
        <v>39</v>
      </c>
      <c r="F6" s="10">
        <f>Предпосылки!G353</f>
        <v>31000</v>
      </c>
      <c r="G6" s="10">
        <f>Предпосылки!H353</f>
        <v>90000</v>
      </c>
      <c r="H6" s="10">
        <f>Предпосылки!I353</f>
        <v>2000</v>
      </c>
      <c r="I6" s="10">
        <f>Предпосылки!J353</f>
        <v>0</v>
      </c>
      <c r="J6" s="10">
        <f>Предпосылки!K353</f>
        <v>0</v>
      </c>
      <c r="K6" s="10">
        <f>Предпосылки!L353</f>
        <v>0</v>
      </c>
      <c r="L6" s="10">
        <f>Предпосылки!M353</f>
        <v>0</v>
      </c>
      <c r="M6" s="10">
        <f>Предпосылки!N353</f>
        <v>0</v>
      </c>
      <c r="N6" s="10">
        <f>Предпосылки!O353</f>
        <v>0</v>
      </c>
      <c r="O6" s="10">
        <f>Предпосылки!P353</f>
        <v>0</v>
      </c>
      <c r="P6" s="270">
        <f>SUM(F6:O6)</f>
        <v>123000</v>
      </c>
    </row>
    <row r="7" spans="1:16" x14ac:dyDescent="0.25">
      <c r="A7" s="7" t="s">
        <v>205</v>
      </c>
      <c r="B7" s="2"/>
      <c r="C7" s="2"/>
      <c r="D7" s="3"/>
      <c r="E7" s="39" t="s">
        <v>39</v>
      </c>
      <c r="F7" s="10">
        <f>Предпосылки!G356</f>
        <v>0</v>
      </c>
      <c r="G7" s="10">
        <f>Предпосылки!H356</f>
        <v>0</v>
      </c>
      <c r="H7" s="10">
        <f>Предпосылки!I356</f>
        <v>0</v>
      </c>
      <c r="I7" s="10">
        <f>Предпосылки!J356</f>
        <v>0</v>
      </c>
      <c r="J7" s="10">
        <f>Предпосылки!K356</f>
        <v>0</v>
      </c>
      <c r="K7" s="10">
        <f>Предпосылки!L356</f>
        <v>0</v>
      </c>
      <c r="L7" s="10">
        <f>Предпосылки!M356</f>
        <v>0</v>
      </c>
      <c r="M7" s="10">
        <f>Предпосылки!N356</f>
        <v>0</v>
      </c>
      <c r="N7" s="10">
        <f>Предпосылки!O356</f>
        <v>0</v>
      </c>
      <c r="O7" s="10">
        <f>Предпосылки!P356</f>
        <v>0</v>
      </c>
      <c r="P7" s="270">
        <f>SUM(F7:O7)</f>
        <v>0</v>
      </c>
    </row>
    <row r="8" spans="1:16" x14ac:dyDescent="0.25">
      <c r="A8" s="44" t="s">
        <v>230</v>
      </c>
      <c r="B8" s="226"/>
      <c r="C8" s="226"/>
      <c r="D8" s="227"/>
      <c r="E8" s="228" t="s">
        <v>39</v>
      </c>
      <c r="F8" s="229">
        <f>Предпосылки!G357</f>
        <v>30000</v>
      </c>
      <c r="G8" s="229">
        <f>Предпосылки!H357</f>
        <v>20000</v>
      </c>
      <c r="H8" s="229">
        <f>Предпосылки!I357</f>
        <v>0</v>
      </c>
      <c r="I8" s="229">
        <f>Предпосылки!J357</f>
        <v>0</v>
      </c>
      <c r="J8" s="229">
        <f>Предпосылки!K357</f>
        <v>0</v>
      </c>
      <c r="K8" s="229">
        <f>Предпосылки!L357</f>
        <v>0</v>
      </c>
      <c r="L8" s="229">
        <f>Предпосылки!M357</f>
        <v>0</v>
      </c>
      <c r="M8" s="229">
        <f>Предпосылки!N357</f>
        <v>0</v>
      </c>
      <c r="N8" s="229">
        <f>Предпосылки!O357</f>
        <v>0</v>
      </c>
      <c r="O8" s="229">
        <f>Предпосылки!P357</f>
        <v>0</v>
      </c>
      <c r="P8" s="382">
        <f>SUM(F8:O8)</f>
        <v>50000</v>
      </c>
    </row>
    <row r="9" spans="1:16" x14ac:dyDescent="0.25">
      <c r="A9" s="17" t="s">
        <v>196</v>
      </c>
      <c r="B9" s="15"/>
      <c r="C9" s="15"/>
      <c r="D9" s="17"/>
      <c r="E9" s="15" t="s">
        <v>39</v>
      </c>
      <c r="F9" s="192">
        <f t="shared" ref="F9:O9" si="0">SUM(F6:F8)</f>
        <v>61000</v>
      </c>
      <c r="G9" s="192">
        <f t="shared" si="0"/>
        <v>110000</v>
      </c>
      <c r="H9" s="192">
        <f t="shared" si="0"/>
        <v>2000</v>
      </c>
      <c r="I9" s="192">
        <f t="shared" si="0"/>
        <v>0</v>
      </c>
      <c r="J9" s="192">
        <f t="shared" si="0"/>
        <v>0</v>
      </c>
      <c r="K9" s="192">
        <f t="shared" si="0"/>
        <v>0</v>
      </c>
      <c r="L9" s="192">
        <f t="shared" si="0"/>
        <v>0</v>
      </c>
      <c r="M9" s="192">
        <f t="shared" si="0"/>
        <v>0</v>
      </c>
      <c r="N9" s="192">
        <f t="shared" si="0"/>
        <v>0</v>
      </c>
      <c r="O9" s="192">
        <f t="shared" si="0"/>
        <v>0</v>
      </c>
      <c r="P9" s="339">
        <f>SUM(F9:O9)</f>
        <v>173000</v>
      </c>
    </row>
    <row r="10" spans="1:16" x14ac:dyDescent="0.25"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189" t="s">
        <v>234</v>
      </c>
      <c r="B11" s="191"/>
      <c r="C11" s="191"/>
      <c r="D11" s="3"/>
      <c r="E11" s="189"/>
      <c r="F11" s="191"/>
      <c r="G11" s="191"/>
      <c r="H11" s="189"/>
      <c r="I11" s="191"/>
      <c r="J11" s="191"/>
      <c r="K11" s="189"/>
      <c r="L11" s="191"/>
      <c r="M11" s="191"/>
      <c r="N11" s="189"/>
      <c r="O11" s="191"/>
      <c r="P11" s="243"/>
    </row>
    <row r="12" spans="1:16" x14ac:dyDescent="0.25"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162" t="s">
        <v>235</v>
      </c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17" t="s">
        <v>236</v>
      </c>
      <c r="B14" s="2"/>
      <c r="C14" s="2"/>
      <c r="D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7" t="s">
        <v>231</v>
      </c>
      <c r="B15" s="2"/>
      <c r="C15" s="2"/>
      <c r="D15" s="3"/>
      <c r="E15" s="129" t="s">
        <v>39</v>
      </c>
      <c r="F15" s="10">
        <f>Предпосылки!G356</f>
        <v>0</v>
      </c>
      <c r="G15" s="10">
        <f>Предпосылки!H356</f>
        <v>0</v>
      </c>
      <c r="H15" s="10">
        <f>Предпосылки!I356</f>
        <v>0</v>
      </c>
      <c r="I15" s="10">
        <f>Предпосылки!J356</f>
        <v>0</v>
      </c>
      <c r="J15" s="10">
        <f>Предпосылки!K356</f>
        <v>0</v>
      </c>
      <c r="K15" s="10">
        <f>Предпосылки!L356</f>
        <v>0</v>
      </c>
      <c r="L15" s="10">
        <f>Предпосылки!M356</f>
        <v>0</v>
      </c>
      <c r="M15" s="10">
        <f>Предпосылки!N356</f>
        <v>0</v>
      </c>
      <c r="N15" s="10">
        <f>Предпосылки!O356</f>
        <v>0</v>
      </c>
      <c r="O15" s="10">
        <f>Предпосылки!P356</f>
        <v>0</v>
      </c>
      <c r="P15" s="244">
        <f>SUM(F15:O15)</f>
        <v>0</v>
      </c>
    </row>
    <row r="16" spans="1:16" x14ac:dyDescent="0.25">
      <c r="A16" s="7" t="s">
        <v>45</v>
      </c>
      <c r="B16" s="39" t="s">
        <v>46</v>
      </c>
      <c r="C16" s="240">
        <f>IF($P$7=0,0,Предпосылки!G362)</f>
        <v>0</v>
      </c>
      <c r="D16" s="3"/>
      <c r="E16" s="2"/>
      <c r="F16" s="237">
        <f>IF(SUM($E$15:E15)=$P$15,0,1)</f>
        <v>0</v>
      </c>
      <c r="G16" s="237">
        <f>IF(SUM($E$15:F15)=$P$15,0,1)</f>
        <v>0</v>
      </c>
      <c r="H16" s="237">
        <f>IF(SUM($E$15:G15)=$P$15,0,1)</f>
        <v>0</v>
      </c>
      <c r="I16" s="237">
        <f>IF(SUM($E$15:H15)=$P$15,0,1)</f>
        <v>0</v>
      </c>
      <c r="J16" s="237">
        <f>IF(SUM($E$15:I15)=$P$15,0,1)</f>
        <v>0</v>
      </c>
      <c r="K16" s="237">
        <f>IF(SUM($E$15:J15)=$P$15,0,1)</f>
        <v>0</v>
      </c>
      <c r="L16" s="237">
        <f>IF(SUM($E$15:K15)=$P$15,0,1)</f>
        <v>0</v>
      </c>
      <c r="M16" s="237">
        <f>IF(SUM($E$15:L15)=$P$15,0,1)</f>
        <v>0</v>
      </c>
      <c r="N16" s="237">
        <f>IF(SUM($E$15:M15)=$P$15,0,1)</f>
        <v>0</v>
      </c>
      <c r="O16" s="237">
        <f>IF(SUM($E$15:N15)=$P$15,0,1)</f>
        <v>0</v>
      </c>
      <c r="P16" s="2"/>
    </row>
    <row r="17" spans="1:17" x14ac:dyDescent="0.25">
      <c r="A17" s="242" t="s">
        <v>241</v>
      </c>
      <c r="B17" s="39" t="s">
        <v>210</v>
      </c>
      <c r="C17" s="241">
        <f>IF($P$7=0,0,VLOOKUP(F1,$F$1:$O$1,COUNTIF($F$16:$O$16,"=1")+1,FALSE))</f>
        <v>0</v>
      </c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x14ac:dyDescent="0.25">
      <c r="A18" s="242" t="s">
        <v>242</v>
      </c>
      <c r="B18" s="39" t="s">
        <v>210</v>
      </c>
      <c r="C18" s="241">
        <f>IF(P7=0,0,Предпосылки!G363)</f>
        <v>0</v>
      </c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x14ac:dyDescent="0.25">
      <c r="B19" s="2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7" x14ac:dyDescent="0.25">
      <c r="A20" s="17" t="s">
        <v>237</v>
      </c>
      <c r="B20" s="2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7" x14ac:dyDescent="0.25">
      <c r="A21" s="7" t="s">
        <v>61</v>
      </c>
      <c r="E21" s="31" t="s">
        <v>39</v>
      </c>
      <c r="F21" s="35">
        <f>IF(F2=1,F15,E25+F15)</f>
        <v>0</v>
      </c>
      <c r="G21" s="35">
        <f>IF(G2=1,G15,F25+G15)</f>
        <v>0</v>
      </c>
      <c r="H21" s="35">
        <f>IF(H2=1,H15,G25+H15)</f>
        <v>0</v>
      </c>
      <c r="I21" s="35">
        <f>IF(I2=1,I15,H25+I15)</f>
        <v>0</v>
      </c>
      <c r="J21" s="35">
        <f t="shared" ref="J21:O21" si="1">IF(J2=1,J15,I25+J15)</f>
        <v>0</v>
      </c>
      <c r="K21" s="35">
        <f t="shared" si="1"/>
        <v>0</v>
      </c>
      <c r="L21" s="35">
        <f t="shared" si="1"/>
        <v>0</v>
      </c>
      <c r="M21" s="35">
        <f t="shared" si="1"/>
        <v>0</v>
      </c>
      <c r="N21" s="35">
        <f t="shared" si="1"/>
        <v>0</v>
      </c>
      <c r="O21" s="35">
        <f t="shared" si="1"/>
        <v>0</v>
      </c>
      <c r="P21" s="36" t="s">
        <v>36</v>
      </c>
    </row>
    <row r="22" spans="1:17" x14ac:dyDescent="0.25">
      <c r="A22" s="7" t="s">
        <v>62</v>
      </c>
      <c r="E22" s="31" t="s">
        <v>39</v>
      </c>
      <c r="F22" s="35">
        <f>IFERROR(IF(F1=$C$17,F21*$C$16/(1-(1/(1+$C$16)^($C$18-$C$17+1))),IF(AND(F1&gt;$C$17,F1&lt;=$C$18),E22,0)),0)</f>
        <v>0</v>
      </c>
      <c r="G22" s="35">
        <f t="shared" ref="G22:O22" si="2">IF(G1=$C$17,G21*$C$16/(1-(1/(1+$C$16)^($C$18-$C$17+1))),IF(AND(G1&gt;$C$17,G1&lt;=$C$18),F22,0))</f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6">
        <f>SUM(F22:O22)</f>
        <v>0</v>
      </c>
      <c r="Q22" s="33"/>
    </row>
    <row r="23" spans="1:17" x14ac:dyDescent="0.25">
      <c r="A23" s="7" t="s">
        <v>63</v>
      </c>
      <c r="E23" s="31" t="s">
        <v>39</v>
      </c>
      <c r="F23" s="35">
        <f>-F21*$C$16</f>
        <v>0</v>
      </c>
      <c r="G23" s="35">
        <f t="shared" ref="G23:O23" si="3">-G21*$C$16</f>
        <v>0</v>
      </c>
      <c r="H23" s="35">
        <f t="shared" si="3"/>
        <v>0</v>
      </c>
      <c r="I23" s="35">
        <f t="shared" si="3"/>
        <v>0</v>
      </c>
      <c r="J23" s="35">
        <f t="shared" si="3"/>
        <v>0</v>
      </c>
      <c r="K23" s="35">
        <f t="shared" si="3"/>
        <v>0</v>
      </c>
      <c r="L23" s="35">
        <f t="shared" si="3"/>
        <v>0</v>
      </c>
      <c r="M23" s="35">
        <f t="shared" si="3"/>
        <v>0</v>
      </c>
      <c r="N23" s="35">
        <f t="shared" si="3"/>
        <v>0</v>
      </c>
      <c r="O23" s="35">
        <f t="shared" si="3"/>
        <v>0</v>
      </c>
      <c r="P23" s="36">
        <f>SUM(F23:O23)</f>
        <v>0</v>
      </c>
    </row>
    <row r="24" spans="1:17" x14ac:dyDescent="0.25">
      <c r="A24" s="7" t="s">
        <v>64</v>
      </c>
      <c r="E24" s="31" t="s">
        <v>39</v>
      </c>
      <c r="F24" s="35">
        <f>-IF(F22=0,0,F22+F23)</f>
        <v>0</v>
      </c>
      <c r="G24" s="35">
        <f>-IF(G22=0,0,G22+G23)</f>
        <v>0</v>
      </c>
      <c r="H24" s="35">
        <f>-IF(H22=0,0,H22+H23)</f>
        <v>0</v>
      </c>
      <c r="I24" s="35">
        <f t="shared" ref="I24:O24" si="4">-IF(I22=0,0,I22+I23)</f>
        <v>0</v>
      </c>
      <c r="J24" s="35">
        <f t="shared" si="4"/>
        <v>0</v>
      </c>
      <c r="K24" s="35">
        <f t="shared" si="4"/>
        <v>0</v>
      </c>
      <c r="L24" s="35">
        <f t="shared" si="4"/>
        <v>0</v>
      </c>
      <c r="M24" s="35">
        <f t="shared" si="4"/>
        <v>0</v>
      </c>
      <c r="N24" s="35">
        <f t="shared" si="4"/>
        <v>0</v>
      </c>
      <c r="O24" s="35">
        <f t="shared" si="4"/>
        <v>0</v>
      </c>
      <c r="P24" s="36">
        <f>SUM(F24:O24)</f>
        <v>0</v>
      </c>
    </row>
    <row r="25" spans="1:17" x14ac:dyDescent="0.25">
      <c r="A25" s="7" t="s">
        <v>65</v>
      </c>
      <c r="E25" s="31" t="s">
        <v>39</v>
      </c>
      <c r="F25" s="35">
        <f>IF(F21-F22&lt;1,0,F21+F24)</f>
        <v>0</v>
      </c>
      <c r="G25" s="35">
        <f t="shared" ref="G25:O25" si="5">IF(G21-G22&lt;1,0,G21+G24)</f>
        <v>0</v>
      </c>
      <c r="H25" s="35">
        <f>IF(H21-H22&lt;1,0,H21+H24)</f>
        <v>0</v>
      </c>
      <c r="I25" s="35">
        <f>IF(I21-I22&lt;1,0,I21+I24)</f>
        <v>0</v>
      </c>
      <c r="J25" s="35">
        <f t="shared" si="5"/>
        <v>0</v>
      </c>
      <c r="K25" s="35">
        <f t="shared" si="5"/>
        <v>0</v>
      </c>
      <c r="L25" s="35">
        <f t="shared" si="5"/>
        <v>0</v>
      </c>
      <c r="M25" s="35">
        <f t="shared" si="5"/>
        <v>0</v>
      </c>
      <c r="N25" s="35">
        <f t="shared" si="5"/>
        <v>0</v>
      </c>
      <c r="O25" s="35">
        <f t="shared" si="5"/>
        <v>0</v>
      </c>
      <c r="P25" s="36" t="s">
        <v>36</v>
      </c>
    </row>
    <row r="26" spans="1:17" x14ac:dyDescent="0.25">
      <c r="E26" s="31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1"/>
    </row>
    <row r="27" spans="1:17" x14ac:dyDescent="0.25">
      <c r="A27" s="17" t="s">
        <v>346</v>
      </c>
      <c r="E27" s="31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1"/>
    </row>
    <row r="28" spans="1:17" x14ac:dyDescent="0.25">
      <c r="A28" s="30" t="s">
        <v>347</v>
      </c>
      <c r="E28" s="31" t="s">
        <v>39</v>
      </c>
      <c r="F28" s="10">
        <f>F23*БДДС!D3</f>
        <v>0</v>
      </c>
      <c r="G28" s="10">
        <f>G23*БДДС!E3</f>
        <v>0</v>
      </c>
      <c r="H28" s="10">
        <f>H23*БДДС!F3</f>
        <v>0</v>
      </c>
      <c r="I28" s="10">
        <f>I23*БДДС!G3</f>
        <v>0</v>
      </c>
      <c r="J28" s="10">
        <f>J23*БДДС!H3</f>
        <v>0</v>
      </c>
      <c r="K28" s="10">
        <f>K23*БДДС!I3</f>
        <v>0</v>
      </c>
      <c r="L28" s="10">
        <f>L23*БДДС!J3</f>
        <v>0</v>
      </c>
      <c r="M28" s="10">
        <f>M23*БДДС!K3</f>
        <v>0</v>
      </c>
      <c r="N28" s="10">
        <f>N23*БДДС!L3</f>
        <v>0</v>
      </c>
      <c r="O28" s="10">
        <f>O23*БДДС!M3</f>
        <v>0</v>
      </c>
      <c r="P28" s="244">
        <f>SUM(F28:O28)</f>
        <v>0</v>
      </c>
    </row>
    <row r="29" spans="1:17" x14ac:dyDescent="0.25">
      <c r="A29" s="30" t="s">
        <v>348</v>
      </c>
      <c r="E29" s="31" t="s">
        <v>39</v>
      </c>
      <c r="F29" s="10">
        <f>F23*БДДС!D4</f>
        <v>0</v>
      </c>
      <c r="G29" s="10">
        <f>G23*БДДС!E4</f>
        <v>0</v>
      </c>
      <c r="H29" s="10">
        <f>H23*БДДС!F4</f>
        <v>0</v>
      </c>
      <c r="I29" s="10">
        <f>I23*БДДС!G4</f>
        <v>0</v>
      </c>
      <c r="J29" s="10">
        <f>J23*БДДС!H4</f>
        <v>0</v>
      </c>
      <c r="K29" s="10">
        <f>K23*БДДС!I4</f>
        <v>0</v>
      </c>
      <c r="L29" s="10">
        <f>L23*БДДС!J4</f>
        <v>0</v>
      </c>
      <c r="M29" s="10">
        <f>M23*БДДС!K4</f>
        <v>0</v>
      </c>
      <c r="N29" s="10">
        <f>N23*БДДС!L4</f>
        <v>0</v>
      </c>
      <c r="O29" s="10">
        <f>O23*БДДС!M4</f>
        <v>0</v>
      </c>
      <c r="P29" s="244">
        <f>SUM(F29:O29)</f>
        <v>0</v>
      </c>
    </row>
    <row r="30" spans="1:17" x14ac:dyDescent="0.25">
      <c r="E30" s="31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1"/>
    </row>
    <row r="31" spans="1:17" ht="14.25" customHeight="1" x14ac:dyDescent="0.25">
      <c r="A31" s="162" t="s">
        <v>239</v>
      </c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7" ht="14.25" customHeight="1" x14ac:dyDescent="0.25">
      <c r="A32" s="17" t="s">
        <v>236</v>
      </c>
      <c r="B32" s="2"/>
      <c r="C32" s="2"/>
      <c r="D32" s="3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6" ht="14.25" customHeight="1" x14ac:dyDescent="0.25">
      <c r="A33" s="7" t="s">
        <v>231</v>
      </c>
      <c r="B33" s="2"/>
      <c r="C33" s="2"/>
      <c r="D33" s="3"/>
      <c r="E33" s="129" t="s">
        <v>39</v>
      </c>
      <c r="F33" s="10">
        <f>Предпосылки!G357</f>
        <v>30000</v>
      </c>
      <c r="G33" s="10">
        <f>Предпосылки!H357</f>
        <v>20000</v>
      </c>
      <c r="H33" s="10">
        <f>Предпосылки!I357</f>
        <v>0</v>
      </c>
      <c r="I33" s="10">
        <f>Предпосылки!J357</f>
        <v>0</v>
      </c>
      <c r="J33" s="10">
        <f>Предпосылки!K357</f>
        <v>0</v>
      </c>
      <c r="K33" s="10">
        <f>Предпосылки!L357</f>
        <v>0</v>
      </c>
      <c r="L33" s="10">
        <f>Предпосылки!M357</f>
        <v>0</v>
      </c>
      <c r="M33" s="10">
        <f>Предпосылки!N357</f>
        <v>0</v>
      </c>
      <c r="N33" s="10">
        <f>Предпосылки!O357</f>
        <v>0</v>
      </c>
      <c r="O33" s="10">
        <f>Предпосылки!P357</f>
        <v>0</v>
      </c>
      <c r="P33" s="244">
        <f>SUM(F33:O33)</f>
        <v>50000</v>
      </c>
    </row>
    <row r="34" spans="1:16" ht="14.25" customHeight="1" x14ac:dyDescent="0.25">
      <c r="A34" s="7" t="s">
        <v>45</v>
      </c>
      <c r="B34" s="39" t="s">
        <v>46</v>
      </c>
      <c r="C34" s="234">
        <f>IF(P8=0,0%,Предпосылки!G366)</f>
        <v>0.05</v>
      </c>
      <c r="D34" s="3"/>
      <c r="E34" s="2"/>
      <c r="F34" s="237">
        <f>IF(SUM($E$33:E33)=$P$33,0,1)</f>
        <v>1</v>
      </c>
      <c r="G34" s="237">
        <f>IF(SUM($E$33:F33)=$P$33,0,1)</f>
        <v>1</v>
      </c>
      <c r="H34" s="237">
        <f>IF(SUM($E$33:G33)=$P$33,0,1)</f>
        <v>0</v>
      </c>
      <c r="I34" s="237">
        <f>IF(SUM($E$33:H33)=$P$33,0,1)</f>
        <v>0</v>
      </c>
      <c r="J34" s="237">
        <f>IF(SUM($E$33:I33)=$P$33,0,1)</f>
        <v>0</v>
      </c>
      <c r="K34" s="237">
        <f>IF(SUM($E$33:J33)=$P$33,0,1)</f>
        <v>0</v>
      </c>
      <c r="L34" s="237">
        <f>IF(SUM($E$33:K33)=$P$33,0,1)</f>
        <v>0</v>
      </c>
      <c r="M34" s="237">
        <f>IF(SUM($E$33:L33)=$P$33,0,1)</f>
        <v>0</v>
      </c>
      <c r="N34" s="237">
        <f>IF(SUM($E$33:M33)=$P$33,0,1)</f>
        <v>0</v>
      </c>
      <c r="O34" s="237">
        <f>IF(SUM($E$33:N33)=$P$33,0,1)</f>
        <v>0</v>
      </c>
      <c r="P34" s="2"/>
    </row>
    <row r="35" spans="1:16" ht="14.25" customHeight="1" x14ac:dyDescent="0.25">
      <c r="A35" s="242" t="s">
        <v>241</v>
      </c>
      <c r="B35" s="39" t="s">
        <v>210</v>
      </c>
      <c r="C35" s="236">
        <f>IF(P8=0,0,VLOOKUP(F1,$F$1:$O$1,COUNTIF($F$34:$O$34,"=1")+1,FALSE))</f>
        <v>2024</v>
      </c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4.25" customHeight="1" x14ac:dyDescent="0.25">
      <c r="A36" s="242" t="s">
        <v>242</v>
      </c>
      <c r="B36" s="39" t="s">
        <v>210</v>
      </c>
      <c r="C36" s="236">
        <f>IF(P8=0,0,Предпосылки!G367)</f>
        <v>2026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4.25" customHeight="1" x14ac:dyDescent="0.25"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4.25" customHeight="1" x14ac:dyDescent="0.25">
      <c r="A38" s="17" t="s">
        <v>237</v>
      </c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4.25" customHeight="1" x14ac:dyDescent="0.25">
      <c r="A39" s="7" t="s">
        <v>61</v>
      </c>
      <c r="E39" s="31" t="s">
        <v>39</v>
      </c>
      <c r="F39" s="35">
        <f>IF(F2=1,F33,E43+F33)</f>
        <v>30000</v>
      </c>
      <c r="G39" s="35">
        <f>IF(G2=1,G33,F43+G33)</f>
        <v>50000</v>
      </c>
      <c r="H39" s="35">
        <f>IF(H2=1,H33,G43+H33)</f>
        <v>50000</v>
      </c>
      <c r="I39" s="35">
        <f>IF(I2=1,I33,H43+I33)</f>
        <v>34139.57176843776</v>
      </c>
      <c r="J39" s="35">
        <f>IF(J2=1,J33,I43+J33)</f>
        <v>17486.122125297403</v>
      </c>
      <c r="K39" s="35">
        <f t="shared" ref="K39:O39" si="6">IF(K2=1,K33,J43+K33)</f>
        <v>0</v>
      </c>
      <c r="L39" s="35">
        <f t="shared" si="6"/>
        <v>0</v>
      </c>
      <c r="M39" s="35">
        <f t="shared" si="6"/>
        <v>0</v>
      </c>
      <c r="N39" s="35">
        <f t="shared" si="6"/>
        <v>0</v>
      </c>
      <c r="O39" s="35">
        <f t="shared" si="6"/>
        <v>0</v>
      </c>
      <c r="P39" s="36" t="s">
        <v>36</v>
      </c>
    </row>
    <row r="40" spans="1:16" ht="14.25" customHeight="1" x14ac:dyDescent="0.25">
      <c r="A40" s="7" t="s">
        <v>62</v>
      </c>
      <c r="E40" s="31" t="s">
        <v>39</v>
      </c>
      <c r="F40" s="35">
        <f>IFERROR(IF(F1=$C$35,F39*$C$34/(1-(1/(1+$C$34)^($C$36-$C$35+1))),IF(AND(F1&gt;$C$35,F1&lt;=$C$36),E40,0)),0)</f>
        <v>0</v>
      </c>
      <c r="G40" s="35">
        <f t="shared" ref="G40:O40" si="7">IFERROR(IF(G1=$C$35,G39*$C$34/(1-(1/(1+$C$34)^($C$36-$C$35+1))),IF(AND(G1&gt;$C$35,G1&lt;=$C$36),F40,0)),0)</f>
        <v>0</v>
      </c>
      <c r="H40" s="35">
        <f t="shared" si="7"/>
        <v>18360.428231562244</v>
      </c>
      <c r="I40" s="35">
        <f t="shared" si="7"/>
        <v>18360.428231562244</v>
      </c>
      <c r="J40" s="35">
        <f t="shared" si="7"/>
        <v>18360.428231562244</v>
      </c>
      <c r="K40" s="35">
        <f t="shared" si="7"/>
        <v>0</v>
      </c>
      <c r="L40" s="35">
        <f t="shared" si="7"/>
        <v>0</v>
      </c>
      <c r="M40" s="35">
        <f t="shared" si="7"/>
        <v>0</v>
      </c>
      <c r="N40" s="35">
        <f t="shared" si="7"/>
        <v>0</v>
      </c>
      <c r="O40" s="35">
        <f t="shared" si="7"/>
        <v>0</v>
      </c>
      <c r="P40" s="36">
        <f>SUM(F40:O40)</f>
        <v>55081.284694686736</v>
      </c>
    </row>
    <row r="41" spans="1:16" ht="14.25" customHeight="1" x14ac:dyDescent="0.25">
      <c r="A41" s="7" t="s">
        <v>63</v>
      </c>
      <c r="E41" s="31" t="s">
        <v>39</v>
      </c>
      <c r="F41" s="35">
        <f>-F39*$C$34</f>
        <v>-1500</v>
      </c>
      <c r="G41" s="35">
        <f t="shared" ref="G41:O41" si="8">-G39*$C$34</f>
        <v>-2500</v>
      </c>
      <c r="H41" s="35">
        <f t="shared" si="8"/>
        <v>-2500</v>
      </c>
      <c r="I41" s="35">
        <f t="shared" si="8"/>
        <v>-1706.9785884218882</v>
      </c>
      <c r="J41" s="35">
        <f t="shared" si="8"/>
        <v>-874.30610626487021</v>
      </c>
      <c r="K41" s="35">
        <f t="shared" si="8"/>
        <v>0</v>
      </c>
      <c r="L41" s="35">
        <f t="shared" si="8"/>
        <v>0</v>
      </c>
      <c r="M41" s="35">
        <f t="shared" si="8"/>
        <v>0</v>
      </c>
      <c r="N41" s="35">
        <f t="shared" si="8"/>
        <v>0</v>
      </c>
      <c r="O41" s="35">
        <f t="shared" si="8"/>
        <v>0</v>
      </c>
      <c r="P41" s="36">
        <f>SUM(F41:O41)</f>
        <v>-9081.2846946867576</v>
      </c>
    </row>
    <row r="42" spans="1:16" ht="14.25" customHeight="1" x14ac:dyDescent="0.25">
      <c r="A42" s="7" t="s">
        <v>64</v>
      </c>
      <c r="E42" s="31" t="s">
        <v>39</v>
      </c>
      <c r="F42" s="35">
        <f>-IF(F40=0,0,F40+F41)</f>
        <v>0</v>
      </c>
      <c r="G42" s="35">
        <f t="shared" ref="G42" si="9">-IF(G40=0,0,G40+G41)</f>
        <v>0</v>
      </c>
      <c r="H42" s="35">
        <f>-IF(H40=0,0,H40+H41)</f>
        <v>-15860.428231562244</v>
      </c>
      <c r="I42" s="35">
        <f t="shared" ref="I42:O42" si="10">-IF(I40=0,0,I40+I41)</f>
        <v>-16653.449643140357</v>
      </c>
      <c r="J42" s="35">
        <f t="shared" si="10"/>
        <v>-17486.122125297374</v>
      </c>
      <c r="K42" s="35">
        <f t="shared" si="10"/>
        <v>0</v>
      </c>
      <c r="L42" s="35">
        <f t="shared" si="10"/>
        <v>0</v>
      </c>
      <c r="M42" s="35">
        <f t="shared" si="10"/>
        <v>0</v>
      </c>
      <c r="N42" s="35">
        <f t="shared" si="10"/>
        <v>0</v>
      </c>
      <c r="O42" s="35">
        <f t="shared" si="10"/>
        <v>0</v>
      </c>
      <c r="P42" s="36">
        <f>SUM(F42:O42)</f>
        <v>-49999.999999999971</v>
      </c>
    </row>
    <row r="43" spans="1:16" ht="14.25" customHeight="1" x14ac:dyDescent="0.25">
      <c r="A43" s="7" t="s">
        <v>65</v>
      </c>
      <c r="E43" s="31" t="s">
        <v>39</v>
      </c>
      <c r="F43" s="35">
        <f>IF(F39-F40&lt;1,0,F39+F42)</f>
        <v>30000</v>
      </c>
      <c r="G43" s="35">
        <f t="shared" ref="G43" si="11">IF(G39-G40&lt;1,0,G39+G42)</f>
        <v>50000</v>
      </c>
      <c r="H43" s="35">
        <f>IF(H39-H40&lt;1,0,H39+H42)</f>
        <v>34139.57176843776</v>
      </c>
      <c r="I43" s="35">
        <f t="shared" ref="I43:O43" si="12">IF(I39-I40&lt;1,0,I39+I42)</f>
        <v>17486.122125297403</v>
      </c>
      <c r="J43" s="35">
        <f t="shared" si="12"/>
        <v>0</v>
      </c>
      <c r="K43" s="35">
        <f t="shared" si="12"/>
        <v>0</v>
      </c>
      <c r="L43" s="35">
        <f t="shared" si="12"/>
        <v>0</v>
      </c>
      <c r="M43" s="35">
        <f t="shared" si="12"/>
        <v>0</v>
      </c>
      <c r="N43" s="35">
        <f t="shared" si="12"/>
        <v>0</v>
      </c>
      <c r="O43" s="35">
        <f t="shared" si="12"/>
        <v>0</v>
      </c>
      <c r="P43" s="36" t="s">
        <v>36</v>
      </c>
    </row>
    <row r="44" spans="1:16" ht="14.25" customHeight="1" x14ac:dyDescent="0.25"/>
    <row r="45" spans="1:16" ht="14.25" customHeight="1" x14ac:dyDescent="0.25">
      <c r="A45" s="17" t="s">
        <v>346</v>
      </c>
      <c r="E45" s="31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1"/>
    </row>
    <row r="46" spans="1:16" ht="14.25" customHeight="1" x14ac:dyDescent="0.25">
      <c r="A46" s="30" t="s">
        <v>347</v>
      </c>
      <c r="E46" s="31" t="s">
        <v>39</v>
      </c>
      <c r="F46" s="10">
        <f>F41*БДДС!D3</f>
        <v>-1500</v>
      </c>
      <c r="G46" s="10">
        <f>G41*БДДС!E3</f>
        <v>0</v>
      </c>
      <c r="H46" s="10">
        <f>H41*БДДС!F3</f>
        <v>0</v>
      </c>
      <c r="I46" s="10">
        <f>I41*БДДС!G3</f>
        <v>0</v>
      </c>
      <c r="J46" s="10">
        <f>J41*БДДС!H3</f>
        <v>0</v>
      </c>
      <c r="K46" s="10">
        <f>K41*БДДС!I3</f>
        <v>0</v>
      </c>
      <c r="L46" s="10">
        <f>L41*БДДС!J3</f>
        <v>0</v>
      </c>
      <c r="M46" s="10">
        <f>M41*БДДС!K3</f>
        <v>0</v>
      </c>
      <c r="N46" s="10">
        <f>N41*БДДС!L3</f>
        <v>0</v>
      </c>
      <c r="O46" s="10">
        <f>O41*БДДС!M3</f>
        <v>0</v>
      </c>
      <c r="P46" s="244">
        <f>SUM(F46:O46)</f>
        <v>-1500</v>
      </c>
    </row>
    <row r="47" spans="1:16" ht="14.25" customHeight="1" x14ac:dyDescent="0.25">
      <c r="A47" s="30" t="s">
        <v>348</v>
      </c>
      <c r="E47" s="31" t="s">
        <v>39</v>
      </c>
      <c r="F47" s="10">
        <f>F41*БДДС!D4</f>
        <v>0</v>
      </c>
      <c r="G47" s="10">
        <f>G41*БДДС!E4</f>
        <v>-2500</v>
      </c>
      <c r="H47" s="10">
        <f>H41*БДДС!F4</f>
        <v>-2500</v>
      </c>
      <c r="I47" s="10">
        <f>I41*БДДС!G4</f>
        <v>-1706.9785884218882</v>
      </c>
      <c r="J47" s="10">
        <f>J41*БДДС!H4</f>
        <v>-874.30610626487021</v>
      </c>
      <c r="K47" s="10">
        <f>K41*БДДС!I4</f>
        <v>0</v>
      </c>
      <c r="L47" s="10">
        <f>L41*БДДС!J4</f>
        <v>0</v>
      </c>
      <c r="M47" s="10">
        <f>M41*БДДС!K4</f>
        <v>0</v>
      </c>
      <c r="N47" s="10">
        <f>N41*БДДС!L4</f>
        <v>0</v>
      </c>
      <c r="O47" s="10">
        <f>O41*БДДС!M4</f>
        <v>0</v>
      </c>
      <c r="P47" s="244">
        <f>SUM(F47:O47)</f>
        <v>-7581.2846946867585</v>
      </c>
    </row>
    <row r="48" spans="1:16" ht="14.25" customHeight="1" x14ac:dyDescent="0.25"/>
    <row r="49" spans="9:9" ht="14.25" customHeight="1" x14ac:dyDescent="0.25"/>
    <row r="50" spans="9:9" ht="14.25" customHeight="1" x14ac:dyDescent="0.25"/>
    <row r="51" spans="9:9" ht="14.25" customHeight="1" x14ac:dyDescent="0.25"/>
    <row r="52" spans="9:9" ht="14.25" customHeight="1" x14ac:dyDescent="0.25"/>
    <row r="53" spans="9:9" ht="14.25" customHeight="1" x14ac:dyDescent="0.25"/>
    <row r="54" spans="9:9" ht="14.25" customHeight="1" x14ac:dyDescent="0.25"/>
    <row r="55" spans="9:9" ht="14.25" customHeight="1" x14ac:dyDescent="0.25"/>
    <row r="56" spans="9:9" ht="14.25" customHeight="1" x14ac:dyDescent="0.25"/>
    <row r="57" spans="9:9" ht="14.25" customHeight="1" x14ac:dyDescent="0.25"/>
    <row r="58" spans="9:9" ht="14.25" customHeight="1" x14ac:dyDescent="0.25"/>
    <row r="59" spans="9:9" ht="14.25" customHeight="1" x14ac:dyDescent="0.25"/>
    <row r="60" spans="9:9" x14ac:dyDescent="0.25">
      <c r="I60" s="3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63"/>
  <sheetViews>
    <sheetView showGridLines="0" zoomScale="85" zoomScaleNormal="85" workbookViewId="0">
      <pane xSplit="2" ySplit="2" topLeftCell="C34" activePane="bottomRight" state="frozen"/>
      <selection pane="topRight" activeCell="C1" sqref="C1"/>
      <selection pane="bottomLeft" activeCell="A3" sqref="A3"/>
      <selection pane="bottomRight" activeCell="O1" sqref="O1:Q1048576"/>
    </sheetView>
  </sheetViews>
  <sheetFormatPr defaultColWidth="8.85546875" defaultRowHeight="15" x14ac:dyDescent="0.25"/>
  <cols>
    <col min="1" max="1" width="2.140625" customWidth="1"/>
    <col min="2" max="2" width="71.7109375" style="242" customWidth="1"/>
    <col min="3" max="3" width="2.42578125" style="7" customWidth="1"/>
    <col min="4" max="4" width="9" style="6" customWidth="1"/>
    <col min="5" max="8" width="10.42578125" style="7" bestFit="1" customWidth="1"/>
    <col min="9" max="9" width="10.140625" style="7" customWidth="1"/>
    <col min="10" max="14" width="10.42578125" style="7" bestFit="1" customWidth="1"/>
    <col min="15" max="15" width="10.85546875" style="343" customWidth="1"/>
  </cols>
  <sheetData>
    <row r="1" spans="2:15" x14ac:dyDescent="0.25">
      <c r="C1" s="15"/>
      <c r="D1" s="15" t="s">
        <v>52</v>
      </c>
      <c r="E1" s="15">
        <f>Предпосылки!G24</f>
        <v>2022</v>
      </c>
      <c r="F1" s="15">
        <f>Предпосылки!H24</f>
        <v>2023</v>
      </c>
      <c r="G1" s="15">
        <f>Предпосылки!I24</f>
        <v>2024</v>
      </c>
      <c r="H1" s="15">
        <f>Предпосылки!J24</f>
        <v>2025</v>
      </c>
      <c r="I1" s="15">
        <f>Предпосылки!K24</f>
        <v>2026</v>
      </c>
      <c r="J1" s="15">
        <f>Предпосылки!L24</f>
        <v>2027</v>
      </c>
      <c r="K1" s="15">
        <f>Предпосылки!M24</f>
        <v>2028</v>
      </c>
      <c r="L1" s="15">
        <f>Предпосылки!N24</f>
        <v>2029</v>
      </c>
      <c r="M1" s="15">
        <f>Предпосылки!O24</f>
        <v>2030</v>
      </c>
      <c r="N1" s="15">
        <f>Предпосылки!P24</f>
        <v>2031</v>
      </c>
      <c r="O1" s="15" t="s">
        <v>6</v>
      </c>
    </row>
    <row r="2" spans="2:15" x14ac:dyDescent="0.25">
      <c r="C2" s="15"/>
      <c r="D2" s="15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384"/>
    </row>
    <row r="3" spans="2:15" x14ac:dyDescent="0.25">
      <c r="B3" s="376" t="s">
        <v>245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s="233" customFormat="1" x14ac:dyDescent="0.25">
      <c r="B4" s="386"/>
      <c r="C4" s="285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85"/>
    </row>
    <row r="5" spans="2:15" s="233" customFormat="1" x14ac:dyDescent="0.25">
      <c r="B5" s="162" t="s">
        <v>327</v>
      </c>
      <c r="C5" s="285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85"/>
    </row>
    <row r="6" spans="2:15" s="233" customFormat="1" x14ac:dyDescent="0.25">
      <c r="B6" s="386" t="s">
        <v>48</v>
      </c>
      <c r="C6" s="285"/>
      <c r="D6" s="210" t="s">
        <v>14</v>
      </c>
      <c r="E6" s="214">
        <f>IF(Предпосылки!$C$372="Общий",Предпосылки!G375,0%)</f>
        <v>0</v>
      </c>
      <c r="F6" s="214">
        <f>IF(Предпосылки!$C$372="Общий",Предпосылки!H375,0%)</f>
        <v>0</v>
      </c>
      <c r="G6" s="214">
        <f>IF(Предпосылки!$C$372="Общий",Предпосылки!I375,0%)</f>
        <v>0</v>
      </c>
      <c r="H6" s="214">
        <f>IF(Предпосылки!$C$372="Общий",Предпосылки!J375,0%)</f>
        <v>0</v>
      </c>
      <c r="I6" s="214">
        <f>IF(Предпосылки!$C$372="Общий",Предпосылки!K375,0%)</f>
        <v>0</v>
      </c>
      <c r="J6" s="214">
        <f>IF(Предпосылки!$C$372="Общий",Предпосылки!L375,0%)</f>
        <v>0</v>
      </c>
      <c r="K6" s="214">
        <f>IF(Предпосылки!$C$372="Общий",Предпосылки!M375,0%)</f>
        <v>0</v>
      </c>
      <c r="L6" s="214">
        <f>IF(Предпосылки!$C$372="Общий",Предпосылки!N375,0%)</f>
        <v>0</v>
      </c>
      <c r="M6" s="214">
        <f>IF(Предпосылки!$C$372="Общий",Предпосылки!O375,0%)</f>
        <v>0</v>
      </c>
      <c r="N6" s="214">
        <f>IF(Предпосылки!$C$372="Общий",Предпосылки!P375,0%)</f>
        <v>0</v>
      </c>
      <c r="O6" s="385"/>
    </row>
    <row r="7" spans="2:15" s="233" customFormat="1" x14ac:dyDescent="0.25">
      <c r="B7" s="386" t="s">
        <v>49</v>
      </c>
      <c r="C7" s="285"/>
      <c r="D7" s="210" t="s">
        <v>14</v>
      </c>
      <c r="E7" s="214">
        <f>IF(Предпосылки!$C$372="Общий",Предпосылки!G376,0%)</f>
        <v>0</v>
      </c>
      <c r="F7" s="214">
        <f>IF(Предпосылки!$C$372="Общий",Предпосылки!H376,0%)</f>
        <v>0</v>
      </c>
      <c r="G7" s="214">
        <f>IF(Предпосылки!$C$372="Общий",Предпосылки!I376,0%)</f>
        <v>0</v>
      </c>
      <c r="H7" s="214">
        <f>IF(Предпосылки!$C$372="Общий",Предпосылки!J376,0%)</f>
        <v>0</v>
      </c>
      <c r="I7" s="214">
        <f>IF(Предпосылки!$C$372="Общий",Предпосылки!K376,0%)</f>
        <v>0</v>
      </c>
      <c r="J7" s="214">
        <f>IF(Предпосылки!$C$372="Общий",Предпосылки!L376,0%)</f>
        <v>0</v>
      </c>
      <c r="K7" s="214">
        <f>IF(Предпосылки!$C$372="Общий",Предпосылки!M376,0%)</f>
        <v>0</v>
      </c>
      <c r="L7" s="214">
        <f>IF(Предпосылки!$C$372="Общий",Предпосылки!N376,0%)</f>
        <v>0</v>
      </c>
      <c r="M7" s="214">
        <f>IF(Предпосылки!$C$372="Общий",Предпосылки!O376,0%)</f>
        <v>0</v>
      </c>
      <c r="N7" s="214">
        <f>IF(Предпосылки!$C$372="Общий",Предпосылки!P376,0%)</f>
        <v>0</v>
      </c>
      <c r="O7" s="385"/>
    </row>
    <row r="8" spans="2:15" s="233" customFormat="1" x14ac:dyDescent="0.25">
      <c r="B8" s="386" t="s">
        <v>50</v>
      </c>
      <c r="C8" s="285"/>
      <c r="D8" s="210" t="s">
        <v>14</v>
      </c>
      <c r="E8" s="214">
        <f>IF(Предпосылки!$C$372="Общий",Предпосылки!G377,0%)</f>
        <v>0</v>
      </c>
      <c r="F8" s="214">
        <f>IF(Предпосылки!$C$372="Общий",Предпосылки!H377,0%)</f>
        <v>0</v>
      </c>
      <c r="G8" s="214">
        <f>IF(Предпосылки!$C$372="Общий",Предпосылки!I377,0%)</f>
        <v>0</v>
      </c>
      <c r="H8" s="214">
        <f>IF(Предпосылки!$C$372="Общий",Предпосылки!J377,0%)</f>
        <v>0</v>
      </c>
      <c r="I8" s="214">
        <f>IF(Предпосылки!$C$372="Общий",Предпосылки!K377,0%)</f>
        <v>0</v>
      </c>
      <c r="J8" s="214">
        <f>IF(Предпосылки!$C$372="Общий",Предпосылки!L377,0%)</f>
        <v>0</v>
      </c>
      <c r="K8" s="214">
        <f>IF(Предпосылки!$C$372="Общий",Предпосылки!M377,0%)</f>
        <v>0</v>
      </c>
      <c r="L8" s="214">
        <f>IF(Предпосылки!$C$372="Общий",Предпосылки!N377,0%)</f>
        <v>0</v>
      </c>
      <c r="M8" s="214">
        <f>IF(Предпосылки!$C$372="Общий",Предпосылки!O377,0%)</f>
        <v>0</v>
      </c>
      <c r="N8" s="214">
        <f>IF(Предпосылки!$C$372="Общий",Предпосылки!P377,0%)</f>
        <v>0</v>
      </c>
      <c r="O8" s="385"/>
    </row>
    <row r="9" spans="2:15" s="233" customFormat="1" x14ac:dyDescent="0.25">
      <c r="B9" s="386" t="s">
        <v>51</v>
      </c>
      <c r="C9" s="285"/>
      <c r="D9" s="210" t="s">
        <v>14</v>
      </c>
      <c r="E9" s="214">
        <f>Предпосылки!G378</f>
        <v>0.13</v>
      </c>
      <c r="F9" s="214">
        <f>Предпосылки!H378</f>
        <v>0.13</v>
      </c>
      <c r="G9" s="214">
        <f>Предпосылки!I378</f>
        <v>0.13</v>
      </c>
      <c r="H9" s="214">
        <f>Предпосылки!J378</f>
        <v>0.13</v>
      </c>
      <c r="I9" s="214">
        <f>Предпосылки!K378</f>
        <v>0.13</v>
      </c>
      <c r="J9" s="214">
        <f>Предпосылки!L378</f>
        <v>0.13</v>
      </c>
      <c r="K9" s="214">
        <f>Предпосылки!M378</f>
        <v>0.13</v>
      </c>
      <c r="L9" s="214">
        <f>Предпосылки!N378</f>
        <v>0.13</v>
      </c>
      <c r="M9" s="214">
        <f>Предпосылки!O378</f>
        <v>0.13</v>
      </c>
      <c r="N9" s="214">
        <f>Предпосылки!P378</f>
        <v>0.13</v>
      </c>
      <c r="O9" s="385"/>
    </row>
    <row r="10" spans="2:15" s="233" customFormat="1" x14ac:dyDescent="0.25">
      <c r="B10" s="386" t="s">
        <v>416</v>
      </c>
      <c r="C10" s="285"/>
      <c r="D10" s="210" t="s">
        <v>14</v>
      </c>
      <c r="E10" s="456">
        <f>Предпосылки!G379</f>
        <v>1.4999999999999999E-2</v>
      </c>
      <c r="F10" s="456">
        <f>Предпосылки!H379</f>
        <v>1.4999999999999999E-2</v>
      </c>
      <c r="G10" s="456">
        <f>Предпосылки!I379</f>
        <v>1.4999999999999999E-2</v>
      </c>
      <c r="H10" s="456">
        <f>Предпосылки!J379</f>
        <v>1.4999999999999999E-2</v>
      </c>
      <c r="I10" s="456">
        <f>Предпосылки!K379</f>
        <v>1.4999999999999999E-2</v>
      </c>
      <c r="J10" s="456">
        <f>Предпосылки!L379</f>
        <v>1.4999999999999999E-2</v>
      </c>
      <c r="K10" s="456">
        <f>Предпосылки!M379</f>
        <v>1.4999999999999999E-2</v>
      </c>
      <c r="L10" s="456">
        <f>Предпосылки!N379</f>
        <v>1.4999999999999999E-2</v>
      </c>
      <c r="M10" s="456">
        <f>Предпосылки!O379</f>
        <v>1.4999999999999999E-2</v>
      </c>
      <c r="N10" s="456">
        <f>Предпосылки!P379</f>
        <v>1.4999999999999999E-2</v>
      </c>
      <c r="O10" s="385"/>
    </row>
    <row r="11" spans="2:15" s="233" customFormat="1" x14ac:dyDescent="0.25">
      <c r="B11" s="386" t="s">
        <v>248</v>
      </c>
      <c r="C11" s="285"/>
      <c r="D11" s="210" t="s">
        <v>14</v>
      </c>
      <c r="E11" s="214">
        <f>IF(Предпосылки!$C$372="УСН, доходы",Предпосылки!G380,0)</f>
        <v>0</v>
      </c>
      <c r="F11" s="214">
        <f>IF(Предпосылки!$C$372="УСН, доходы",Предпосылки!H380,0)</f>
        <v>0</v>
      </c>
      <c r="G11" s="214">
        <f>IF(Предпосылки!$C$372="УСН, доходы",Предпосылки!I380,0)</f>
        <v>0</v>
      </c>
      <c r="H11" s="214">
        <f>IF(Предпосылки!$C$372="УСН, доходы",Предпосылки!J380,0)</f>
        <v>0</v>
      </c>
      <c r="I11" s="214">
        <f>IF(Предпосылки!$C$372="УСН, доходы",Предпосылки!K380,0)</f>
        <v>0</v>
      </c>
      <c r="J11" s="214">
        <f>IF(Предпосылки!$C$372="УСН, доходы",Предпосылки!L380,0)</f>
        <v>0</v>
      </c>
      <c r="K11" s="214">
        <f>IF(Предпосылки!$C$372="УСН, доходы",Предпосылки!M380,0)</f>
        <v>0</v>
      </c>
      <c r="L11" s="214">
        <f>IF(Предпосылки!$C$372="УСН, доходы",Предпосылки!N380,0)</f>
        <v>0</v>
      </c>
      <c r="M11" s="214">
        <f>IF(Предпосылки!$C$372="УСН, доходы",Предпосылки!O380,0)</f>
        <v>0</v>
      </c>
      <c r="N11" s="214">
        <f>IF(Предпосылки!$C$372="УСН, доходы",Предпосылки!P380,0)</f>
        <v>0</v>
      </c>
      <c r="O11" s="385"/>
    </row>
    <row r="12" spans="2:15" s="233" customFormat="1" x14ac:dyDescent="0.25">
      <c r="B12" s="386" t="s">
        <v>321</v>
      </c>
      <c r="C12" s="285"/>
      <c r="D12" s="210" t="s">
        <v>14</v>
      </c>
      <c r="E12" s="214">
        <f>IF(Предпосылки!$C$372="УСН, доходы-расходы",Предпосылки!G381,0)</f>
        <v>0</v>
      </c>
      <c r="F12" s="214">
        <f>IF(Предпосылки!$C$372="УСН, доходы-расходы",Предпосылки!H381,0)</f>
        <v>0</v>
      </c>
      <c r="G12" s="214">
        <f>IF(Предпосылки!$C$372="УСН, доходы-расходы",Предпосылки!I381,0)</f>
        <v>0</v>
      </c>
      <c r="H12" s="214">
        <f>IF(Предпосылки!$C$372="УСН, доходы-расходы",Предпосылки!J381,0)</f>
        <v>0</v>
      </c>
      <c r="I12" s="214">
        <f>IF(Предпосылки!$C$372="УСН, доходы-расходы",Предпосылки!K381,0)</f>
        <v>0</v>
      </c>
      <c r="J12" s="214">
        <f>IF(Предпосылки!$C$372="УСН, доходы-расходы",Предпосылки!L381,0)</f>
        <v>0</v>
      </c>
      <c r="K12" s="214">
        <f>IF(Предпосылки!$C$372="УСН, доходы-расходы",Предпосылки!M381,0)</f>
        <v>0</v>
      </c>
      <c r="L12" s="214">
        <f>IF(Предпосылки!$C$372="УСН, доходы-расходы",Предпосылки!N381,0)</f>
        <v>0</v>
      </c>
      <c r="M12" s="214">
        <f>IF(Предпосылки!$C$372="УСН, доходы-расходы",Предпосылки!O381,0)</f>
        <v>0</v>
      </c>
      <c r="N12" s="214">
        <f>IF(Предпосылки!$C$372="УСН, доходы-расходы",Предпосылки!P381,0)</f>
        <v>0</v>
      </c>
      <c r="O12" s="385"/>
    </row>
    <row r="13" spans="2:15" s="233" customFormat="1" ht="17.25" customHeight="1" x14ac:dyDescent="0.25">
      <c r="B13" s="386" t="s">
        <v>333</v>
      </c>
      <c r="C13" s="285"/>
      <c r="D13" s="210" t="s">
        <v>14</v>
      </c>
      <c r="E13" s="214">
        <f>IF(Предпосылки!$C$372="УСН, доходы-расходы",Предпосылки!G382,0%)</f>
        <v>0</v>
      </c>
      <c r="F13" s="214">
        <f>IF(Предпосылки!$C$372="УСН, доходы-расходы",Предпосылки!H382,0%)</f>
        <v>0</v>
      </c>
      <c r="G13" s="214">
        <f>IF(Предпосылки!$C$372="УСН, доходы-расходы",Предпосылки!I382,0%)</f>
        <v>0</v>
      </c>
      <c r="H13" s="214">
        <f>IF(Предпосылки!$C$372="УСН, доходы-расходы",Предпосылки!J382,0%)</f>
        <v>0</v>
      </c>
      <c r="I13" s="214">
        <f>IF(Предпосылки!$C$372="УСН, доходы-расходы",Предпосылки!K382,0%)</f>
        <v>0</v>
      </c>
      <c r="J13" s="214">
        <f>IF(Предпосылки!$C$372="УСН, доходы-расходы",Предпосылки!L382,0%)</f>
        <v>0</v>
      </c>
      <c r="K13" s="214">
        <f>IF(Предпосылки!$C$372="УСН, доходы-расходы",Предпосылки!M382,0%)</f>
        <v>0</v>
      </c>
      <c r="L13" s="214">
        <f>IF(Предпосылки!$C$372="УСН, доходы-расходы",Предпосылки!N382,0%)</f>
        <v>0</v>
      </c>
      <c r="M13" s="214">
        <f>IF(Предпосылки!$C$372="УСН, доходы-расходы",Предпосылки!O382,0%)</f>
        <v>0</v>
      </c>
      <c r="N13" s="214">
        <f>IF(Предпосылки!$C$372="УСН, доходы-расходы",Предпосылки!P382,0%)</f>
        <v>0</v>
      </c>
      <c r="O13" s="385"/>
    </row>
    <row r="14" spans="2:15" s="233" customFormat="1" x14ac:dyDescent="0.25">
      <c r="B14" s="386" t="s">
        <v>269</v>
      </c>
      <c r="C14" s="285"/>
      <c r="D14" s="210" t="s">
        <v>39</v>
      </c>
      <c r="E14" s="40">
        <f>Предпосылки!G383</f>
        <v>0</v>
      </c>
      <c r="F14" s="40">
        <f>Предпосылки!H383</f>
        <v>0</v>
      </c>
      <c r="G14" s="40">
        <f>Предпосылки!I383</f>
        <v>0</v>
      </c>
      <c r="H14" s="40">
        <f>Предпосылки!J383</f>
        <v>0</v>
      </c>
      <c r="I14" s="40">
        <f>Предпосылки!K383</f>
        <v>0</v>
      </c>
      <c r="J14" s="40">
        <f>Предпосылки!L383</f>
        <v>0</v>
      </c>
      <c r="K14" s="40">
        <f>Предпосылки!M383</f>
        <v>0</v>
      </c>
      <c r="L14" s="40">
        <f>Предпосылки!N383</f>
        <v>0</v>
      </c>
      <c r="M14" s="40">
        <f>Предпосылки!O383</f>
        <v>0</v>
      </c>
      <c r="N14" s="40">
        <f>Предпосылки!P383</f>
        <v>0</v>
      </c>
      <c r="O14" s="385"/>
    </row>
    <row r="15" spans="2:15" s="233" customFormat="1" x14ac:dyDescent="0.25">
      <c r="B15" s="386"/>
      <c r="C15" s="285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85"/>
    </row>
    <row r="16" spans="2:15" x14ac:dyDescent="0.25">
      <c r="B16" s="162" t="s">
        <v>66</v>
      </c>
      <c r="C16" s="162"/>
      <c r="D16" s="162"/>
      <c r="E16" s="162" t="s">
        <v>55</v>
      </c>
      <c r="F16" s="162"/>
      <c r="G16" s="162"/>
      <c r="H16" s="162"/>
      <c r="I16" s="162"/>
      <c r="J16" s="162"/>
      <c r="K16" s="162"/>
      <c r="L16" s="162"/>
      <c r="M16" s="162"/>
      <c r="N16" s="162"/>
    </row>
    <row r="17" spans="2:17" x14ac:dyDescent="0.25">
      <c r="B17" s="56" t="s">
        <v>129</v>
      </c>
      <c r="D17" s="5" t="s">
        <v>39</v>
      </c>
      <c r="E17" s="40">
        <f>'Доходы и расходы'!E44/(1+E6)</f>
        <v>0</v>
      </c>
      <c r="F17" s="40">
        <f>'Доходы и расходы'!F44/(1+F6)</f>
        <v>185231.2</v>
      </c>
      <c r="G17" s="40">
        <f>'Доходы и расходы'!G44/(1+G6)</f>
        <v>209079.717</v>
      </c>
      <c r="H17" s="40">
        <f>'Доходы и расходы'!H44/(1+H6)</f>
        <v>232613.34096000003</v>
      </c>
      <c r="I17" s="40">
        <f>'Доходы и расходы'!I44/(1+I6)</f>
        <v>257695.12728960003</v>
      </c>
      <c r="J17" s="40">
        <f>'Доходы и расходы'!J44/(1+J6)</f>
        <v>284411.27518003207</v>
      </c>
      <c r="K17" s="40">
        <f>'Доходы и расходы'!K44/(1+K6)</f>
        <v>312852.40269803529</v>
      </c>
      <c r="L17" s="40">
        <f>'Доходы и расходы'!L44/(1+L6)</f>
        <v>343113.76237719069</v>
      </c>
      <c r="M17" s="40">
        <f>'Доходы и расходы'!M44/(1+M6)</f>
        <v>375295.46698636166</v>
      </c>
      <c r="N17" s="40">
        <f>'Доходы и расходы'!N44/(1+N6)</f>
        <v>415901.20603734505</v>
      </c>
      <c r="O17" s="270">
        <f>SUM(E17:N17)</f>
        <v>2616193.4985285648</v>
      </c>
    </row>
    <row r="18" spans="2:17" x14ac:dyDescent="0.25">
      <c r="B18" s="56" t="s">
        <v>249</v>
      </c>
      <c r="D18" s="5" t="s">
        <v>39</v>
      </c>
      <c r="E18" s="40">
        <f>(SUM('Доходы и расходы'!E84,'Доходы и расходы'!E109)+SUMIF(Предпосылки!$C$265:$C$274,"Да",'Доходы и расходы'!E182:E191))/(1+E6)</f>
        <v>583.73</v>
      </c>
      <c r="F18" s="40">
        <f>(SUM('Доходы и расходы'!F84,'Доходы и расходы'!F109)+SUMIF(Предпосылки!$C$265:$C$274,"Да",'Доходы и расходы'!F182:F191))/(1+F6)</f>
        <v>94890.007597000003</v>
      </c>
      <c r="G18" s="40">
        <f>(SUM('Доходы и расходы'!G84,'Доходы и расходы'!G109)+SUMIF(Предпосылки!$C$265:$C$274,"Да",'Доходы и расходы'!G182:G191))/(1+G6)</f>
        <v>106436.40602595001</v>
      </c>
      <c r="H18" s="40">
        <f>(SUM('Доходы и расходы'!H84,'Доходы и расходы'!H109)+SUMIF(Предпосылки!$C$265:$C$274,"Да",'Доходы и расходы'!H182:H191))/(1+H6)</f>
        <v>118464.41205799201</v>
      </c>
      <c r="I18" s="40">
        <f>(SUM('Доходы и расходы'!I84,'Доходы и расходы'!I109)+SUMIF(Предпосылки!$C$265:$C$274,"Да",'Доходы и расходы'!I182:I191))/(1+I6)</f>
        <v>131164.71615671425</v>
      </c>
      <c r="J18" s="40">
        <f>(SUM('Доходы и расходы'!J84,'Доходы и расходы'!J109)+SUMIF(Предпосылки!$C$265:$C$274,"Да",'Доходы и расходы'!J182:J191))/(1+J6)</f>
        <v>144692.8688859414</v>
      </c>
      <c r="K18" s="40">
        <f>(SUM('Доходы и расходы'!K84,'Доходы и расходы'!K109)+SUMIF(Предпосылки!$C$265:$C$274,"Да",'Доходы и расходы'!K182:K191))/(1+K6)</f>
        <v>159248.4144326291</v>
      </c>
      <c r="L18" s="40">
        <f>(SUM('Доходы и расходы'!L84,'Доходы и расходы'!L109)+SUMIF(Предпосылки!$C$265:$C$274,"Да",'Доходы и расходы'!L182:L191))/(1+L6)</f>
        <v>174575.69072206225</v>
      </c>
      <c r="M18" s="40">
        <f>(SUM('Доходы и расходы'!M84,'Доходы и расходы'!M109)+SUMIF(Предпосылки!$C$265:$C$274,"Да",'Доходы и расходы'!M182:M191))/(1+M6)</f>
        <v>190903.57547890511</v>
      </c>
      <c r="N18" s="40">
        <f>(SUM('Доходы и расходы'!N84,'Доходы и расходы'!N109)+SUMIF(Предпосылки!$C$265:$C$274,"Да",'Доходы и расходы'!N182:N191))/(1+N6)</f>
        <v>211603.17537969435</v>
      </c>
      <c r="O18" s="270">
        <f>SUM(E18:N18)</f>
        <v>1332562.9967368888</v>
      </c>
    </row>
    <row r="19" spans="2:17" x14ac:dyDescent="0.25">
      <c r="B19" s="56" t="s">
        <v>250</v>
      </c>
      <c r="D19" s="210" t="s">
        <v>39</v>
      </c>
      <c r="E19" s="40">
        <f>SUMIFS(Предпосылки!G301:G320,Предпосылки!$C$301:$C$320,"Да")/1.2</f>
        <v>53426.264223744292</v>
      </c>
      <c r="F19" s="40">
        <f>SUMIFS(Предпосылки!H301:H320,Предпосылки!$C$301:$C$320,"Да")/1.2</f>
        <v>91666.666666666672</v>
      </c>
      <c r="G19" s="40">
        <f>SUMIFS(Предпосылки!I301:I320,Предпосылки!$C$301:$C$320,"Да")/1.2</f>
        <v>1666.6666666666667</v>
      </c>
      <c r="H19" s="40">
        <f>SUMIFS(Предпосылки!J301:J320,Предпосылки!$C$301:$C$320,"Да")/1.2</f>
        <v>0</v>
      </c>
      <c r="I19" s="40">
        <f>SUMIFS(Предпосылки!K301:K320,Предпосылки!$C$301:$C$320,"Да")/1.2</f>
        <v>0</v>
      </c>
      <c r="J19" s="40">
        <f>SUMIFS(Предпосылки!L301:L320,Предпосылки!$C$301:$C$320,"Да")/1.2</f>
        <v>0</v>
      </c>
      <c r="K19" s="40">
        <f>SUMIFS(Предпосылки!M301:M320,Предпосылки!$C$301:$C$320,"Да")/1.2</f>
        <v>0</v>
      </c>
      <c r="L19" s="40">
        <f>SUMIFS(Предпосылки!N301:N320,Предпосылки!$C$301:$C$320,"Да")/1.2</f>
        <v>0</v>
      </c>
      <c r="M19" s="40">
        <f>SUMIFS(Предпосылки!O301:O320,Предпосылки!$C$301:$C$320,"Да")/1.2</f>
        <v>0</v>
      </c>
      <c r="N19" s="40">
        <f>SUMIFS(Предпосылки!P301:P320,Предпосылки!$C$301:$C$320,"Да")/1.2</f>
        <v>0</v>
      </c>
      <c r="O19" s="270">
        <f>SUM(E19:N19)</f>
        <v>146759.59755707762</v>
      </c>
    </row>
    <row r="20" spans="2:17" x14ac:dyDescent="0.25">
      <c r="B20" s="56"/>
      <c r="D20" s="210"/>
      <c r="E20" s="6"/>
      <c r="F20" s="6"/>
      <c r="G20" s="6"/>
      <c r="H20" s="6"/>
      <c r="I20" s="6"/>
      <c r="J20" s="6"/>
      <c r="K20" s="6"/>
      <c r="L20" s="6"/>
      <c r="M20" s="6"/>
      <c r="N20" s="6"/>
      <c r="O20" s="15"/>
    </row>
    <row r="21" spans="2:17" x14ac:dyDescent="0.25">
      <c r="B21" s="56" t="s">
        <v>67</v>
      </c>
      <c r="D21" s="5" t="s">
        <v>39</v>
      </c>
      <c r="E21" s="40">
        <f t="shared" ref="E21:N21" si="0">-E17*E6</f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0">
        <f t="shared" si="0"/>
        <v>0</v>
      </c>
      <c r="L21" s="40">
        <f t="shared" si="0"/>
        <v>0</v>
      </c>
      <c r="M21" s="40">
        <f t="shared" si="0"/>
        <v>0</v>
      </c>
      <c r="N21" s="40">
        <f t="shared" si="0"/>
        <v>0</v>
      </c>
      <c r="O21" s="270">
        <f>SUM(E21:N21)</f>
        <v>0</v>
      </c>
      <c r="Q21" s="41"/>
    </row>
    <row r="22" spans="2:17" x14ac:dyDescent="0.25">
      <c r="B22" s="56" t="s">
        <v>68</v>
      </c>
      <c r="D22" s="5" t="s">
        <v>39</v>
      </c>
      <c r="E22" s="40">
        <f t="shared" ref="E22:N22" si="1">E18*E6</f>
        <v>0</v>
      </c>
      <c r="F22" s="40">
        <f t="shared" si="1"/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0">
        <f t="shared" si="1"/>
        <v>0</v>
      </c>
      <c r="K22" s="40">
        <f t="shared" si="1"/>
        <v>0</v>
      </c>
      <c r="L22" s="40">
        <f t="shared" si="1"/>
        <v>0</v>
      </c>
      <c r="M22" s="40">
        <f t="shared" si="1"/>
        <v>0</v>
      </c>
      <c r="N22" s="40">
        <f t="shared" si="1"/>
        <v>0</v>
      </c>
      <c r="O22" s="270">
        <f>SUM(E22:N22)</f>
        <v>0</v>
      </c>
      <c r="Q22" s="41"/>
    </row>
    <row r="23" spans="2:17" x14ac:dyDescent="0.25">
      <c r="B23" s="56" t="s">
        <v>69</v>
      </c>
      <c r="D23" s="5" t="s">
        <v>39</v>
      </c>
      <c r="E23" s="42">
        <f t="shared" ref="E23:N23" si="2">E19*E6</f>
        <v>0</v>
      </c>
      <c r="F23" s="42">
        <f t="shared" si="2"/>
        <v>0</v>
      </c>
      <c r="G23" s="42">
        <f t="shared" si="2"/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42">
        <f t="shared" si="2"/>
        <v>0</v>
      </c>
      <c r="L23" s="42">
        <f t="shared" si="2"/>
        <v>0</v>
      </c>
      <c r="M23" s="42">
        <f t="shared" si="2"/>
        <v>0</v>
      </c>
      <c r="N23" s="42">
        <f t="shared" si="2"/>
        <v>0</v>
      </c>
      <c r="O23" s="341">
        <f>SUM(E23:N23)</f>
        <v>0</v>
      </c>
      <c r="Q23" s="41"/>
    </row>
    <row r="24" spans="2:17" x14ac:dyDescent="0.25">
      <c r="B24" s="387" t="s">
        <v>268</v>
      </c>
      <c r="C24" s="21"/>
      <c r="D24" s="11" t="s">
        <v>39</v>
      </c>
      <c r="E24" s="13">
        <f>SUM(E21:E23)</f>
        <v>0</v>
      </c>
      <c r="F24" s="13">
        <f t="shared" ref="F24:N24" si="3">SUM(F21:F23)</f>
        <v>0</v>
      </c>
      <c r="G24" s="13">
        <f t="shared" si="3"/>
        <v>0</v>
      </c>
      <c r="H24" s="13">
        <f t="shared" si="3"/>
        <v>0</v>
      </c>
      <c r="I24" s="13">
        <f t="shared" si="3"/>
        <v>0</v>
      </c>
      <c r="J24" s="13">
        <f t="shared" si="3"/>
        <v>0</v>
      </c>
      <c r="K24" s="13">
        <f t="shared" si="3"/>
        <v>0</v>
      </c>
      <c r="L24" s="13">
        <f t="shared" si="3"/>
        <v>0</v>
      </c>
      <c r="M24" s="13">
        <f t="shared" si="3"/>
        <v>0</v>
      </c>
      <c r="N24" s="13">
        <f t="shared" si="3"/>
        <v>0</v>
      </c>
      <c r="O24" s="340">
        <f>SUM(E24:N24)</f>
        <v>0</v>
      </c>
    </row>
    <row r="26" spans="2:17" x14ac:dyDescent="0.25">
      <c r="B26" s="162" t="s">
        <v>246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</row>
    <row r="27" spans="2:17" x14ac:dyDescent="0.25">
      <c r="B27" s="56" t="s">
        <v>71</v>
      </c>
      <c r="D27" s="5" t="s">
        <v>39</v>
      </c>
      <c r="E27" s="40">
        <f>SUMIF(Предпосылки!$C$327:$C$346,"Здания и сооружения",Инвестиции!H124:H143)+SUMIF(Предпосылки!$C$327:$C$346,"Дороги",Инвестиции!H124:H143)</f>
        <v>5208</v>
      </c>
      <c r="F27" s="40">
        <f>SUMIF(Предпосылки!$C$327:$C$346,"Здания и сооружения",Инвестиции!I124:I143)+SUMIF(Предпосылки!$C$327:$C$346,"Дороги",Инвестиции!I124:I143)</f>
        <v>113720.69450000001</v>
      </c>
      <c r="G27" s="40">
        <f>SUMIF(Предпосылки!$C$327:$C$346,"Здания и сооружения",Инвестиции!J124:J143)+SUMIF(Предпосылки!$C$327:$C$346,"Дороги",Инвестиции!J124:J143)</f>
        <v>109208.83050000001</v>
      </c>
      <c r="H27" s="40">
        <f>SUMIF(Предпосылки!$C$327:$C$346,"Здания и сооружения",Инвестиции!K124:K143)+SUMIF(Предпосылки!$C$327:$C$346,"Дороги",Инвестиции!K124:K143)</f>
        <v>104696.96649999999</v>
      </c>
      <c r="I27" s="40">
        <f>SUMIF(Предпосылки!$C$327:$C$346,"Здания и сооружения",Инвестиции!L124:L143)+SUMIF(Предпосылки!$C$327:$C$346,"Дороги",Инвестиции!L124:L143)</f>
        <v>100185.10250000001</v>
      </c>
      <c r="J27" s="40">
        <f>SUMIF(Предпосылки!$C$327:$C$346,"Здания и сооружения",Инвестиции!M124:M143)+SUMIF(Предпосылки!$C$327:$C$346,"Дороги",Инвестиции!M124:M143)</f>
        <v>95673.238500000007</v>
      </c>
      <c r="K27" s="40">
        <f>SUMIF(Предпосылки!$C$327:$C$346,"Здания и сооружения",Инвестиции!N124:N143)+SUMIF(Предпосылки!$C$327:$C$346,"Дороги",Инвестиции!N124:N143)</f>
        <v>91161.374500000005</v>
      </c>
      <c r="L27" s="40">
        <f>SUMIF(Предпосылки!$C$327:$C$346,"Здания и сооружения",Инвестиции!O124:O143)+SUMIF(Предпосылки!$C$327:$C$346,"Дороги",Инвестиции!O124:O143)</f>
        <v>86649.510500000004</v>
      </c>
      <c r="M27" s="40">
        <f>SUMIF(Предпосылки!$C$327:$C$346,"Здания и сооружения",Инвестиции!P124:P143)+SUMIF(Предпосылки!$C$327:$C$346,"Дороги",Инвестиции!P124:P143)</f>
        <v>82137.646500000003</v>
      </c>
      <c r="N27" s="40">
        <f>SUMIF(Предпосылки!$C$327:$C$346,"Здания и сооружения",Инвестиции!Q124:Q143)+SUMIF(Предпосылки!$C$327:$C$346,"Дороги",Инвестиции!Q124:Q143)</f>
        <v>77625.782500000001</v>
      </c>
      <c r="O27" s="270">
        <f>SUM(E27:N27)</f>
        <v>866267.14650000003</v>
      </c>
    </row>
    <row r="28" spans="2:17" x14ac:dyDescent="0.25">
      <c r="B28" s="388" t="s">
        <v>72</v>
      </c>
      <c r="C28" s="44"/>
      <c r="D28" s="45" t="s">
        <v>39</v>
      </c>
      <c r="E28" s="40">
        <f>IF(E2=1,AVERAGE(0,E27),AVERAGE(D27:E27))</f>
        <v>2604</v>
      </c>
      <c r="F28" s="40">
        <f>IF(F2=1,AVERAGE(0,F27),AVERAGE(E27:F27))</f>
        <v>59464.347250000006</v>
      </c>
      <c r="G28" s="40">
        <f t="shared" ref="G28:N28" si="4">IF(G2=1,AVERAGE(0,G27),AVERAGE(F27:G27))</f>
        <v>111464.76250000001</v>
      </c>
      <c r="H28" s="40">
        <f t="shared" si="4"/>
        <v>106952.89850000001</v>
      </c>
      <c r="I28" s="40">
        <f t="shared" si="4"/>
        <v>102441.03450000001</v>
      </c>
      <c r="J28" s="40">
        <f t="shared" si="4"/>
        <v>97929.170500000007</v>
      </c>
      <c r="K28" s="40">
        <f t="shared" si="4"/>
        <v>93417.306500000006</v>
      </c>
      <c r="L28" s="40">
        <f t="shared" si="4"/>
        <v>88905.442500000005</v>
      </c>
      <c r="M28" s="40">
        <f t="shared" si="4"/>
        <v>84393.578500000003</v>
      </c>
      <c r="N28" s="40">
        <f t="shared" si="4"/>
        <v>79881.714500000002</v>
      </c>
      <c r="O28" s="270">
        <f>SUM(E28:N28)</f>
        <v>827454.25524999993</v>
      </c>
    </row>
    <row r="29" spans="2:17" x14ac:dyDescent="0.25">
      <c r="B29" s="389" t="s">
        <v>70</v>
      </c>
      <c r="C29" s="30"/>
      <c r="D29" s="15" t="s">
        <v>39</v>
      </c>
      <c r="E29" s="13">
        <f t="shared" ref="E29:N29" si="5">-E28*E7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340">
        <f>SUM(E29:N29)</f>
        <v>0</v>
      </c>
    </row>
    <row r="31" spans="2:17" x14ac:dyDescent="0.25">
      <c r="B31" s="162" t="s">
        <v>247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</row>
    <row r="32" spans="2:17" x14ac:dyDescent="0.25">
      <c r="B32" s="242" t="s">
        <v>74</v>
      </c>
      <c r="D32" s="5" t="s">
        <v>39</v>
      </c>
      <c r="E32" s="10">
        <f>БДР!E20</f>
        <v>-2818.4004800000007</v>
      </c>
      <c r="F32" s="10">
        <f>БДР!F20</f>
        <v>81270.07638860002</v>
      </c>
      <c r="G32" s="10">
        <f>БДР!G20</f>
        <v>87398.078588872391</v>
      </c>
      <c r="H32" s="10">
        <f>БДР!H20</f>
        <v>98004.683120989997</v>
      </c>
      <c r="I32" s="10">
        <f>БДР!I20</f>
        <v>110641.34714632096</v>
      </c>
      <c r="J32" s="10">
        <f>БДР!J20</f>
        <v>124103.05809857871</v>
      </c>
      <c r="K32" s="10">
        <f>БДР!K20</f>
        <v>137364.02614207374</v>
      </c>
      <c r="L32" s="10">
        <f>БДР!L20</f>
        <v>151648.5110468627</v>
      </c>
      <c r="M32" s="10">
        <f>БДР!M20</f>
        <v>166826.74847486016</v>
      </c>
      <c r="N32" s="10">
        <f>БДР!N20</f>
        <v>186030.28190375047</v>
      </c>
      <c r="O32" s="270">
        <f>SUM(E32:N32)</f>
        <v>1140468.4104309091</v>
      </c>
    </row>
    <row r="33" spans="1:15" x14ac:dyDescent="0.25">
      <c r="B33" s="323" t="s">
        <v>75</v>
      </c>
      <c r="D33" s="5" t="s">
        <v>39</v>
      </c>
      <c r="E33" s="40">
        <f>IF(D32=0,0,IFERROR(MAX(D33-D32,0),0))</f>
        <v>0</v>
      </c>
      <c r="F33" s="40">
        <f t="shared" ref="F33:N33" si="6">IF(E32=0,0,IFERROR(MAX(E33-E32,0),0))</f>
        <v>2818.4004800000007</v>
      </c>
      <c r="G33" s="40">
        <f t="shared" si="6"/>
        <v>0</v>
      </c>
      <c r="H33" s="40">
        <f t="shared" si="6"/>
        <v>0</v>
      </c>
      <c r="I33" s="40">
        <f t="shared" si="6"/>
        <v>0</v>
      </c>
      <c r="J33" s="40">
        <f t="shared" si="6"/>
        <v>0</v>
      </c>
      <c r="K33" s="40">
        <f t="shared" si="6"/>
        <v>0</v>
      </c>
      <c r="L33" s="40">
        <f t="shared" si="6"/>
        <v>0</v>
      </c>
      <c r="M33" s="40">
        <f t="shared" si="6"/>
        <v>0</v>
      </c>
      <c r="N33" s="40">
        <f t="shared" si="6"/>
        <v>0</v>
      </c>
      <c r="O33" s="270">
        <f>SUM(E33:N33)</f>
        <v>2818.4004800000007</v>
      </c>
    </row>
    <row r="34" spans="1:15" x14ac:dyDescent="0.25">
      <c r="B34" s="242" t="s">
        <v>76</v>
      </c>
      <c r="D34" s="5" t="s">
        <v>39</v>
      </c>
      <c r="E34" s="40">
        <f>MAX(E32-E33,0)</f>
        <v>0</v>
      </c>
      <c r="F34" s="40">
        <f t="shared" ref="F34:N34" si="7">MAX(F32-F33,0)</f>
        <v>78451.675908600024</v>
      </c>
      <c r="G34" s="40">
        <f t="shared" si="7"/>
        <v>87398.078588872391</v>
      </c>
      <c r="H34" s="40">
        <f t="shared" si="7"/>
        <v>98004.683120989997</v>
      </c>
      <c r="I34" s="40">
        <f t="shared" si="7"/>
        <v>110641.34714632096</v>
      </c>
      <c r="J34" s="40">
        <f t="shared" si="7"/>
        <v>124103.05809857871</v>
      </c>
      <c r="K34" s="40">
        <f t="shared" si="7"/>
        <v>137364.02614207374</v>
      </c>
      <c r="L34" s="40">
        <f t="shared" si="7"/>
        <v>151648.5110468627</v>
      </c>
      <c r="M34" s="40">
        <f t="shared" si="7"/>
        <v>166826.74847486016</v>
      </c>
      <c r="N34" s="40">
        <f t="shared" si="7"/>
        <v>186030.28190375047</v>
      </c>
      <c r="O34" s="270">
        <f>SUM(E34:N34)</f>
        <v>1140468.4104309091</v>
      </c>
    </row>
    <row r="35" spans="1:15" x14ac:dyDescent="0.25">
      <c r="B35" s="387" t="s">
        <v>73</v>
      </c>
      <c r="C35" s="21"/>
      <c r="D35" s="11" t="s">
        <v>39</v>
      </c>
      <c r="E35" s="47">
        <f t="shared" ref="E35:N35" si="8">-E34*E8</f>
        <v>0</v>
      </c>
      <c r="F35" s="47">
        <f t="shared" si="8"/>
        <v>0</v>
      </c>
      <c r="G35" s="47">
        <f t="shared" si="8"/>
        <v>0</v>
      </c>
      <c r="H35" s="47">
        <f t="shared" si="8"/>
        <v>0</v>
      </c>
      <c r="I35" s="47">
        <f t="shared" si="8"/>
        <v>0</v>
      </c>
      <c r="J35" s="47">
        <f t="shared" si="8"/>
        <v>0</v>
      </c>
      <c r="K35" s="47">
        <f t="shared" si="8"/>
        <v>0</v>
      </c>
      <c r="L35" s="47">
        <f t="shared" si="8"/>
        <v>0</v>
      </c>
      <c r="M35" s="47">
        <f t="shared" si="8"/>
        <v>0</v>
      </c>
      <c r="N35" s="47">
        <f t="shared" si="8"/>
        <v>0</v>
      </c>
      <c r="O35" s="342">
        <f>SUM(E35:N35)</f>
        <v>0</v>
      </c>
    </row>
    <row r="36" spans="1:15" x14ac:dyDescent="0.25">
      <c r="E36" s="48"/>
      <c r="F36" s="19"/>
      <c r="G36" s="19"/>
    </row>
    <row r="37" spans="1:15" x14ac:dyDescent="0.25">
      <c r="B37" s="162" t="s">
        <v>77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</row>
    <row r="38" spans="1:15" x14ac:dyDescent="0.25">
      <c r="B38" s="390" t="s">
        <v>78</v>
      </c>
      <c r="D38" s="15" t="s">
        <v>39</v>
      </c>
      <c r="E38" s="18">
        <f>-'Доходы и расходы'!E176*E9</f>
        <v>-222.44040000000007</v>
      </c>
      <c r="F38" s="18">
        <f>-'Доходы и расходы'!F176*F9</f>
        <v>-654.09271200000012</v>
      </c>
      <c r="G38" s="18">
        <f>-'Доходы и расходы'!G176*G9</f>
        <v>-1268.6678484480003</v>
      </c>
      <c r="H38" s="18">
        <f>-'Доходы и расходы'!H176*H9</f>
        <v>-1437.0939778235042</v>
      </c>
      <c r="I38" s="18">
        <f>-'Доходы и расходы'!I176*I9</f>
        <v>-1494.5777369364446</v>
      </c>
      <c r="J38" s="18">
        <f>-'Доходы и расходы'!J176*J9</f>
        <v>-1554.3608464139024</v>
      </c>
      <c r="K38" s="18">
        <f>-'Доходы и расходы'!K176*K9</f>
        <v>-1616.5352802704585</v>
      </c>
      <c r="L38" s="18">
        <f>-'Доходы и расходы'!L176*L9</f>
        <v>-1681.1966914812767</v>
      </c>
      <c r="M38" s="18">
        <f>-'Доходы и расходы'!M176*M9</f>
        <v>-1748.4445591405281</v>
      </c>
      <c r="N38" s="18">
        <f>-'Доходы и расходы'!N176*N9</f>
        <v>-1818.382341506149</v>
      </c>
      <c r="O38" s="270">
        <f>SUM(E38:N38)</f>
        <v>-13495.792394020264</v>
      </c>
    </row>
    <row r="40" spans="1:15" x14ac:dyDescent="0.25">
      <c r="B40" s="162" t="s">
        <v>417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</row>
    <row r="41" spans="1:15" x14ac:dyDescent="0.25">
      <c r="A41" t="s">
        <v>151</v>
      </c>
      <c r="B41" s="439">
        <f>Предпосылки!B256</f>
        <v>0</v>
      </c>
      <c r="D41" s="39" t="s">
        <v>39</v>
      </c>
      <c r="E41" s="40">
        <f>-IF(VALUE(LEFT(E$1,4))&gt;=Предпосылки!$H256,Предпосылки!$G256*'Доходы и расходы'!E$5*E$10,0)</f>
        <v>0</v>
      </c>
      <c r="F41" s="40">
        <f>-IF(VALUE(LEFT(F$1,4))&gt;=Предпосылки!$H256,Предпосылки!$G256*'Доходы и расходы'!F$5*F$10,0)</f>
        <v>0</v>
      </c>
      <c r="G41" s="40">
        <f>-IF(VALUE(LEFT(G$1,4))&gt;=Предпосылки!$H256,Предпосылки!$G256*'Доходы и расходы'!G$5*G$10,0)</f>
        <v>0</v>
      </c>
      <c r="H41" s="40">
        <f>-IF(VALUE(LEFT(H$1,4))&gt;=Предпосылки!$H256,Предпосылки!$G256*'Доходы и расходы'!H$5*H$10,0)</f>
        <v>0</v>
      </c>
      <c r="I41" s="40">
        <f>-IF(VALUE(LEFT(I$1,4))&gt;=Предпосылки!$H256,Предпосылки!$G256*'Доходы и расходы'!I$5*I$10,0)</f>
        <v>0</v>
      </c>
      <c r="J41" s="40">
        <f>-IF(VALUE(LEFT(J$1,4))&gt;=Предпосылки!$H256,Предпосылки!$G256*'Доходы и расходы'!J$5*J$10,0)</f>
        <v>0</v>
      </c>
      <c r="K41" s="40">
        <f>-IF(VALUE(LEFT(K$1,4))&gt;=Предпосылки!$H256,Предпосылки!$G256*'Доходы и расходы'!K$5*K$10,0)</f>
        <v>0</v>
      </c>
      <c r="L41" s="40">
        <f>-IF(VALUE(LEFT(L$1,4))&gt;=Предпосылки!$H256,Предпосылки!$G256*'Доходы и расходы'!L$5*L$10,0)</f>
        <v>0</v>
      </c>
      <c r="M41" s="40">
        <f>-IF(VALUE(LEFT(M$1,4))&gt;=Предпосылки!$H256,Предпосылки!$G256*'Доходы и расходы'!M$5*M$10,0)</f>
        <v>0</v>
      </c>
      <c r="N41" s="40">
        <f>-IF(VALUE(LEFT(N$1,4))&gt;=Предпосылки!$H256,Предпосылки!$G256*'Доходы и расходы'!N$5*N$10,0)</f>
        <v>0</v>
      </c>
      <c r="O41" s="270">
        <f t="shared" ref="O41:O46" si="9">SUM(E41:N41)</f>
        <v>0</v>
      </c>
    </row>
    <row r="42" spans="1:15" x14ac:dyDescent="0.25">
      <c r="A42" t="s">
        <v>152</v>
      </c>
      <c r="B42" s="439">
        <f>Предпосылки!B257</f>
        <v>0</v>
      </c>
      <c r="D42" s="39" t="s">
        <v>39</v>
      </c>
      <c r="E42" s="40">
        <f>-IF(VALUE(LEFT(E$1,4))&gt;=Предпосылки!$H257,Предпосылки!$G257*'Доходы и расходы'!E$5*E$10,0)</f>
        <v>0</v>
      </c>
      <c r="F42" s="40">
        <f>-IF(VALUE(LEFT(F$1,4))&gt;=Предпосылки!$H257,Предпосылки!$G257*'Доходы и расходы'!F$5*F$10,0)</f>
        <v>0</v>
      </c>
      <c r="G42" s="40">
        <f>-IF(VALUE(LEFT(G$1,4))&gt;=Предпосылки!$H257,Предпосылки!$G257*'Доходы и расходы'!G$5*G$10,0)</f>
        <v>0</v>
      </c>
      <c r="H42" s="40">
        <f>-IF(VALUE(LEFT(H$1,4))&gt;=Предпосылки!$H257,Предпосылки!$G257*'Доходы и расходы'!H$5*H$10,0)</f>
        <v>0</v>
      </c>
      <c r="I42" s="40">
        <f>-IF(VALUE(LEFT(I$1,4))&gt;=Предпосылки!$H257,Предпосылки!$G257*'Доходы и расходы'!I$5*I$10,0)</f>
        <v>0</v>
      </c>
      <c r="J42" s="40">
        <f>-IF(VALUE(LEFT(J$1,4))&gt;=Предпосылки!$H257,Предпосылки!$G257*'Доходы и расходы'!J$5*J$10,0)</f>
        <v>0</v>
      </c>
      <c r="K42" s="40">
        <f>-IF(VALUE(LEFT(K$1,4))&gt;=Предпосылки!$H257,Предпосылки!$G257*'Доходы и расходы'!K$5*K$10,0)</f>
        <v>0</v>
      </c>
      <c r="L42" s="40">
        <f>-IF(VALUE(LEFT(L$1,4))&gt;=Предпосылки!$H257,Предпосылки!$G257*'Доходы и расходы'!L$5*L$10,0)</f>
        <v>0</v>
      </c>
      <c r="M42" s="40">
        <f>-IF(VALUE(LEFT(M$1,4))&gt;=Предпосылки!$H257,Предпосылки!$G257*'Доходы и расходы'!M$5*M$10,0)</f>
        <v>0</v>
      </c>
      <c r="N42" s="40">
        <f>-IF(VALUE(LEFT(N$1,4))&gt;=Предпосылки!$H257,Предпосылки!$G257*'Доходы и расходы'!N$5*N$10,0)</f>
        <v>0</v>
      </c>
      <c r="O42" s="270">
        <f t="shared" si="9"/>
        <v>0</v>
      </c>
    </row>
    <row r="43" spans="1:15" x14ac:dyDescent="0.25">
      <c r="A43" t="s">
        <v>153</v>
      </c>
      <c r="B43" s="439">
        <f>Предпосылки!B258</f>
        <v>0</v>
      </c>
      <c r="D43" s="39" t="s">
        <v>39</v>
      </c>
      <c r="E43" s="40">
        <f>-IF(VALUE(LEFT(E$1,4))&gt;=Предпосылки!$H258,Предпосылки!$G258*'Доходы и расходы'!E$5*E$10,0)</f>
        <v>0</v>
      </c>
      <c r="F43" s="40">
        <f>-IF(VALUE(LEFT(F$1,4))&gt;=Предпосылки!$H258,Предпосылки!$G258*'Доходы и расходы'!F$5*F$10,0)</f>
        <v>0</v>
      </c>
      <c r="G43" s="40">
        <f>-IF(VALUE(LEFT(G$1,4))&gt;=Предпосылки!$H258,Предпосылки!$G258*'Доходы и расходы'!G$5*G$10,0)</f>
        <v>0</v>
      </c>
      <c r="H43" s="40">
        <f>-IF(VALUE(LEFT(H$1,4))&gt;=Предпосылки!$H258,Предпосылки!$G258*'Доходы и расходы'!H$5*H$10,0)</f>
        <v>0</v>
      </c>
      <c r="I43" s="40">
        <f>-IF(VALUE(LEFT(I$1,4))&gt;=Предпосылки!$H258,Предпосылки!$G258*'Доходы и расходы'!I$5*I$10,0)</f>
        <v>0</v>
      </c>
      <c r="J43" s="40">
        <f>-IF(VALUE(LEFT(J$1,4))&gt;=Предпосылки!$H258,Предпосылки!$G258*'Доходы и расходы'!J$5*J$10,0)</f>
        <v>0</v>
      </c>
      <c r="K43" s="40">
        <f>-IF(VALUE(LEFT(K$1,4))&gt;=Предпосылки!$H258,Предпосылки!$G258*'Доходы и расходы'!K$5*K$10,0)</f>
        <v>0</v>
      </c>
      <c r="L43" s="40">
        <f>-IF(VALUE(LEFT(L$1,4))&gt;=Предпосылки!$H258,Предпосылки!$G258*'Доходы и расходы'!L$5*L$10,0)</f>
        <v>0</v>
      </c>
      <c r="M43" s="40">
        <f>-IF(VALUE(LEFT(M$1,4))&gt;=Предпосылки!$H258,Предпосылки!$G258*'Доходы и расходы'!M$5*M$10,0)</f>
        <v>0</v>
      </c>
      <c r="N43" s="40">
        <f>-IF(VALUE(LEFT(N$1,4))&gt;=Предпосылки!$H258,Предпосылки!$G258*'Доходы и расходы'!N$5*N$10,0)</f>
        <v>0</v>
      </c>
      <c r="O43" s="270">
        <f t="shared" si="9"/>
        <v>0</v>
      </c>
    </row>
    <row r="44" spans="1:15" x14ac:dyDescent="0.25">
      <c r="A44" t="s">
        <v>154</v>
      </c>
      <c r="B44" s="439">
        <f>Предпосылки!B259</f>
        <v>0</v>
      </c>
      <c r="D44" s="39" t="s">
        <v>39</v>
      </c>
      <c r="E44" s="40">
        <f>-IF(VALUE(LEFT(E$1,4))&gt;=Предпосылки!$H259,Предпосылки!$G259*'Доходы и расходы'!E$5*E$10,0)</f>
        <v>0</v>
      </c>
      <c r="F44" s="40">
        <f>-IF(VALUE(LEFT(F$1,4))&gt;=Предпосылки!$H259,Предпосылки!$G259*'Доходы и расходы'!F$5*F$10,0)</f>
        <v>0</v>
      </c>
      <c r="G44" s="40">
        <f>-IF(VALUE(LEFT(G$1,4))&gt;=Предпосылки!$H259,Предпосылки!$G259*'Доходы и расходы'!G$5*G$10,0)</f>
        <v>0</v>
      </c>
      <c r="H44" s="40">
        <f>-IF(VALUE(LEFT(H$1,4))&gt;=Предпосылки!$H259,Предпосылки!$G259*'Доходы и расходы'!H$5*H$10,0)</f>
        <v>0</v>
      </c>
      <c r="I44" s="40">
        <f>-IF(VALUE(LEFT(I$1,4))&gt;=Предпосылки!$H259,Предпосылки!$G259*'Доходы и расходы'!I$5*I$10,0)</f>
        <v>0</v>
      </c>
      <c r="J44" s="40">
        <f>-IF(VALUE(LEFT(J$1,4))&gt;=Предпосылки!$H259,Предпосылки!$G259*'Доходы и расходы'!J$5*J$10,0)</f>
        <v>0</v>
      </c>
      <c r="K44" s="40">
        <f>-IF(VALUE(LEFT(K$1,4))&gt;=Предпосылки!$H259,Предпосылки!$G259*'Доходы и расходы'!K$5*K$10,0)</f>
        <v>0</v>
      </c>
      <c r="L44" s="40">
        <f>-IF(VALUE(LEFT(L$1,4))&gt;=Предпосылки!$H259,Предпосылки!$G259*'Доходы и расходы'!L$5*L$10,0)</f>
        <v>0</v>
      </c>
      <c r="M44" s="40">
        <f>-IF(VALUE(LEFT(M$1,4))&gt;=Предпосылки!$H259,Предпосылки!$G259*'Доходы и расходы'!M$5*M$10,0)</f>
        <v>0</v>
      </c>
      <c r="N44" s="40">
        <f>-IF(VALUE(LEFT(N$1,4))&gt;=Предпосылки!$H259,Предпосылки!$G259*'Доходы и расходы'!N$5*N$10,0)</f>
        <v>0</v>
      </c>
      <c r="O44" s="270">
        <f t="shared" si="9"/>
        <v>0</v>
      </c>
    </row>
    <row r="45" spans="1:15" x14ac:dyDescent="0.25">
      <c r="A45" t="s">
        <v>155</v>
      </c>
      <c r="B45" s="439">
        <f>Предпосылки!B260</f>
        <v>0</v>
      </c>
      <c r="D45" s="39" t="s">
        <v>39</v>
      </c>
      <c r="E45" s="215">
        <f>-IF(VALUE(LEFT(E$1,4))&gt;=Предпосылки!$H260,Предпосылки!$G260*'Доходы и расходы'!E$5*E$10,0)</f>
        <v>0</v>
      </c>
      <c r="F45" s="215">
        <f>-IF(VALUE(LEFT(F$1,4))&gt;=Предпосылки!$H260,Предпосылки!$G260*'Доходы и расходы'!F$5*F$10,0)</f>
        <v>0</v>
      </c>
      <c r="G45" s="215">
        <f>-IF(VALUE(LEFT(G$1,4))&gt;=Предпосылки!$H260,Предпосылки!$G260*'Доходы и расходы'!G$5*G$10,0)</f>
        <v>0</v>
      </c>
      <c r="H45" s="215">
        <f>-IF(VALUE(LEFT(H$1,4))&gt;=Предпосылки!$H260,Предпосылки!$G260*'Доходы и расходы'!H$5*H$10,0)</f>
        <v>0</v>
      </c>
      <c r="I45" s="215">
        <f>-IF(VALUE(LEFT(I$1,4))&gt;=Предпосылки!$H260,Предпосылки!$G260*'Доходы и расходы'!I$5*I$10,0)</f>
        <v>0</v>
      </c>
      <c r="J45" s="215">
        <f>-IF(VALUE(LEFT(J$1,4))&gt;=Предпосылки!$H260,Предпосылки!$G260*'Доходы и расходы'!J$5*J$10,0)</f>
        <v>0</v>
      </c>
      <c r="K45" s="215">
        <f>-IF(VALUE(LEFT(K$1,4))&gt;=Предпосылки!$H260,Предпосылки!$G260*'Доходы и расходы'!K$5*K$10,0)</f>
        <v>0</v>
      </c>
      <c r="L45" s="215">
        <f>-IF(VALUE(LEFT(L$1,4))&gt;=Предпосылки!$H260,Предпосылки!$G260*'Доходы и расходы'!L$5*L$10,0)</f>
        <v>0</v>
      </c>
      <c r="M45" s="215">
        <f>-IF(VALUE(LEFT(M$1,4))&gt;=Предпосылки!$H260,Предпосылки!$G260*'Доходы и расходы'!M$5*M$10,0)</f>
        <v>0</v>
      </c>
      <c r="N45" s="215">
        <f>-IF(VALUE(LEFT(N$1,4))&gt;=Предпосылки!$H260,Предпосылки!$G260*'Доходы и расходы'!N$5*N$10,0)</f>
        <v>0</v>
      </c>
      <c r="O45" s="270">
        <f t="shared" si="9"/>
        <v>0</v>
      </c>
    </row>
    <row r="46" spans="1:15" s="159" customFormat="1" x14ac:dyDescent="0.25">
      <c r="B46" s="391" t="s">
        <v>135</v>
      </c>
      <c r="C46" s="12"/>
      <c r="D46" s="11" t="s">
        <v>39</v>
      </c>
      <c r="E46" s="13">
        <f>SUM(E41:E45)</f>
        <v>0</v>
      </c>
      <c r="F46" s="13">
        <f t="shared" ref="F46:N46" si="10">SUM(F41:F45)</f>
        <v>0</v>
      </c>
      <c r="G46" s="13">
        <f t="shared" si="10"/>
        <v>0</v>
      </c>
      <c r="H46" s="13">
        <f t="shared" si="10"/>
        <v>0</v>
      </c>
      <c r="I46" s="13">
        <f t="shared" si="10"/>
        <v>0</v>
      </c>
      <c r="J46" s="13">
        <f t="shared" si="10"/>
        <v>0</v>
      </c>
      <c r="K46" s="13">
        <f>SUM(K41:K45)</f>
        <v>0</v>
      </c>
      <c r="L46" s="13">
        <f t="shared" si="10"/>
        <v>0</v>
      </c>
      <c r="M46" s="13">
        <f t="shared" si="10"/>
        <v>0</v>
      </c>
      <c r="N46" s="13">
        <f t="shared" si="10"/>
        <v>0</v>
      </c>
      <c r="O46" s="340">
        <f t="shared" si="9"/>
        <v>0</v>
      </c>
    </row>
    <row r="48" spans="1:15" x14ac:dyDescent="0.25">
      <c r="B48" s="162" t="s">
        <v>253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</row>
    <row r="49" spans="2:15" x14ac:dyDescent="0.25">
      <c r="B49" s="242" t="s">
        <v>251</v>
      </c>
      <c r="D49" s="39" t="s">
        <v>39</v>
      </c>
      <c r="E49" s="40">
        <f>БДР!E5</f>
        <v>0</v>
      </c>
      <c r="F49" s="40">
        <f>БДР!F5</f>
        <v>185231.2</v>
      </c>
      <c r="G49" s="40">
        <f>БДР!G5</f>
        <v>209079.717</v>
      </c>
      <c r="H49" s="40">
        <f>БДР!H5</f>
        <v>232613.34096000003</v>
      </c>
      <c r="I49" s="40">
        <f>БДР!I5</f>
        <v>257695.12728960003</v>
      </c>
      <c r="J49" s="40">
        <f>БДР!J5</f>
        <v>284411.27518003207</v>
      </c>
      <c r="K49" s="40">
        <f>БДР!K5</f>
        <v>312852.40269803529</v>
      </c>
      <c r="L49" s="40">
        <f>БДР!L5</f>
        <v>343113.76237719069</v>
      </c>
      <c r="M49" s="40">
        <f>БДР!M5</f>
        <v>375295.46698636166</v>
      </c>
      <c r="N49" s="40">
        <f>БДР!N5</f>
        <v>415901.20603734505</v>
      </c>
      <c r="O49" s="270">
        <f>SUM(E49:N49)</f>
        <v>2616193.4985285648</v>
      </c>
    </row>
    <row r="50" spans="2:15" x14ac:dyDescent="0.25">
      <c r="B50" s="242" t="s">
        <v>252</v>
      </c>
      <c r="D50" s="39" t="s">
        <v>39</v>
      </c>
      <c r="E50" s="42">
        <f>E49</f>
        <v>0</v>
      </c>
      <c r="F50" s="42">
        <f t="shared" ref="F50:N50" si="11">F49</f>
        <v>185231.2</v>
      </c>
      <c r="G50" s="42">
        <f t="shared" si="11"/>
        <v>209079.717</v>
      </c>
      <c r="H50" s="42">
        <f t="shared" si="11"/>
        <v>232613.34096000003</v>
      </c>
      <c r="I50" s="42">
        <f t="shared" si="11"/>
        <v>257695.12728960003</v>
      </c>
      <c r="J50" s="42">
        <f t="shared" si="11"/>
        <v>284411.27518003207</v>
      </c>
      <c r="K50" s="42">
        <f t="shared" si="11"/>
        <v>312852.40269803529</v>
      </c>
      <c r="L50" s="42">
        <f t="shared" si="11"/>
        <v>343113.76237719069</v>
      </c>
      <c r="M50" s="42">
        <f t="shared" si="11"/>
        <v>375295.46698636166</v>
      </c>
      <c r="N50" s="42">
        <f t="shared" si="11"/>
        <v>415901.20603734505</v>
      </c>
      <c r="O50" s="341">
        <f>SUM(E50:N50)</f>
        <v>2616193.4985285648</v>
      </c>
    </row>
    <row r="51" spans="2:15" x14ac:dyDescent="0.25">
      <c r="B51" s="387" t="s">
        <v>328</v>
      </c>
      <c r="C51" s="12"/>
      <c r="D51" s="11" t="s">
        <v>39</v>
      </c>
      <c r="E51" s="13">
        <f t="shared" ref="E51:N51" si="12">-E50*E11</f>
        <v>0</v>
      </c>
      <c r="F51" s="13">
        <f t="shared" si="12"/>
        <v>0</v>
      </c>
      <c r="G51" s="13">
        <f t="shared" si="12"/>
        <v>0</v>
      </c>
      <c r="H51" s="13">
        <f t="shared" si="12"/>
        <v>0</v>
      </c>
      <c r="I51" s="13">
        <f t="shared" si="12"/>
        <v>0</v>
      </c>
      <c r="J51" s="13">
        <f t="shared" si="12"/>
        <v>0</v>
      </c>
      <c r="K51" s="13">
        <f t="shared" si="12"/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340">
        <f>SUM(E51:N51)</f>
        <v>0</v>
      </c>
    </row>
    <row r="53" spans="2:15" x14ac:dyDescent="0.25">
      <c r="B53" s="162" t="s">
        <v>254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</row>
    <row r="54" spans="2:15" x14ac:dyDescent="0.25">
      <c r="B54" s="242" t="s">
        <v>251</v>
      </c>
      <c r="D54" s="39" t="s">
        <v>39</v>
      </c>
      <c r="E54" s="40">
        <f>БДР!E5</f>
        <v>0</v>
      </c>
      <c r="F54" s="40">
        <f>БДР!F5</f>
        <v>185231.2</v>
      </c>
      <c r="G54" s="40">
        <f>БДР!G5</f>
        <v>209079.717</v>
      </c>
      <c r="H54" s="40">
        <f>БДР!H5</f>
        <v>232613.34096000003</v>
      </c>
      <c r="I54" s="40">
        <f>БДР!I5</f>
        <v>257695.12728960003</v>
      </c>
      <c r="J54" s="40">
        <f>БДР!J5</f>
        <v>284411.27518003207</v>
      </c>
      <c r="K54" s="40">
        <f>БДР!K5</f>
        <v>312852.40269803529</v>
      </c>
      <c r="L54" s="40">
        <f>БДР!L5</f>
        <v>343113.76237719069</v>
      </c>
      <c r="M54" s="40">
        <f>БДР!M5</f>
        <v>375295.46698636166</v>
      </c>
      <c r="N54" s="40">
        <f>БДР!N5</f>
        <v>415901.20603734505</v>
      </c>
      <c r="O54" s="270">
        <f>SUM(E54:N54)</f>
        <v>2616193.4985285648</v>
      </c>
    </row>
    <row r="55" spans="2:15" x14ac:dyDescent="0.25">
      <c r="B55" s="242" t="s">
        <v>330</v>
      </c>
      <c r="D55" s="39" t="s">
        <v>39</v>
      </c>
      <c r="E55" s="40">
        <f>SUM(БДР!E8:E16,БДР!E19)</f>
        <v>-4318.4004800000002</v>
      </c>
      <c r="F55" s="40">
        <f>SUM(БДР!F8:F16,БДР!F19)</f>
        <v>-103961.12361139999</v>
      </c>
      <c r="G55" s="40">
        <f>SUM(БДР!G8:G16,БДР!G19)</f>
        <v>-121681.63841112761</v>
      </c>
      <c r="H55" s="40">
        <f>SUM(БДР!H8:H16,БДР!H19)</f>
        <v>-134608.65783901003</v>
      </c>
      <c r="I55" s="40">
        <f>SUM(БДР!I8:I16,БДР!I19)</f>
        <v>-147053.78014327909</v>
      </c>
      <c r="J55" s="40">
        <f>SUM(БДР!J8:J16,БДР!J19)</f>
        <v>-160308.21708145336</v>
      </c>
      <c r="K55" s="40">
        <f>SUM(БДР!K8:K16,БДР!K19)</f>
        <v>-175488.37655596156</v>
      </c>
      <c r="L55" s="40">
        <f>SUM(БДР!L8:L16,БДР!L19)</f>
        <v>-191465.251330328</v>
      </c>
      <c r="M55" s="40">
        <f>SUM(БДР!M8:M16,БДР!M19)</f>
        <v>-208468.7185115015</v>
      </c>
      <c r="N55" s="40">
        <f>SUM(БДР!N8:N16,БДР!N19)</f>
        <v>-229870.92413359458</v>
      </c>
      <c r="O55" s="270">
        <f>SUM(E55:N55)</f>
        <v>-1477225.0880976557</v>
      </c>
    </row>
    <row r="56" spans="2:15" x14ac:dyDescent="0.25">
      <c r="B56" s="242" t="s">
        <v>331</v>
      </c>
      <c r="D56" s="39" t="s">
        <v>39</v>
      </c>
      <c r="E56" s="40">
        <f>SUM(E54:E55)</f>
        <v>-4318.4004800000002</v>
      </c>
      <c r="F56" s="40">
        <f t="shared" ref="F56:N56" si="13">SUM(F54:F55)</f>
        <v>81270.07638860002</v>
      </c>
      <c r="G56" s="40">
        <f t="shared" si="13"/>
        <v>87398.078588872391</v>
      </c>
      <c r="H56" s="40">
        <f t="shared" si="13"/>
        <v>98004.683120989997</v>
      </c>
      <c r="I56" s="40">
        <f t="shared" si="13"/>
        <v>110641.34714632094</v>
      </c>
      <c r="J56" s="40">
        <f t="shared" si="13"/>
        <v>124103.05809857871</v>
      </c>
      <c r="K56" s="40">
        <f t="shared" si="13"/>
        <v>137364.02614207374</v>
      </c>
      <c r="L56" s="40">
        <f t="shared" si="13"/>
        <v>151648.5110468627</v>
      </c>
      <c r="M56" s="40">
        <f t="shared" si="13"/>
        <v>166826.74847486016</v>
      </c>
      <c r="N56" s="40">
        <f t="shared" si="13"/>
        <v>186030.28190375047</v>
      </c>
      <c r="O56" s="270">
        <f>SUM(E56:N56)</f>
        <v>1138968.4104309091</v>
      </c>
    </row>
    <row r="57" spans="2:15" x14ac:dyDescent="0.25">
      <c r="B57" s="242" t="s">
        <v>75</v>
      </c>
      <c r="D57" s="39" t="s">
        <v>39</v>
      </c>
      <c r="E57" s="40">
        <f>IFERROR(MAX(D57-D56,0),0)</f>
        <v>0</v>
      </c>
      <c r="F57" s="40">
        <f>IFERROR(MAX(E57-E56,0),0)</f>
        <v>4318.4004800000002</v>
      </c>
      <c r="G57" s="40">
        <f t="shared" ref="G57:N57" si="14">IFERROR(MAX(F57-F56,0),0)</f>
        <v>0</v>
      </c>
      <c r="H57" s="40">
        <f t="shared" si="14"/>
        <v>0</v>
      </c>
      <c r="I57" s="40">
        <f t="shared" si="14"/>
        <v>0</v>
      </c>
      <c r="J57" s="40">
        <f t="shared" si="14"/>
        <v>0</v>
      </c>
      <c r="K57" s="40">
        <f t="shared" si="14"/>
        <v>0</v>
      </c>
      <c r="L57" s="40">
        <f t="shared" si="14"/>
        <v>0</v>
      </c>
      <c r="M57" s="40">
        <f t="shared" si="14"/>
        <v>0</v>
      </c>
      <c r="N57" s="40">
        <f t="shared" si="14"/>
        <v>0</v>
      </c>
      <c r="O57" s="270" t="s">
        <v>36</v>
      </c>
    </row>
    <row r="58" spans="2:15" x14ac:dyDescent="0.25">
      <c r="B58" s="242" t="s">
        <v>332</v>
      </c>
      <c r="D58" s="39" t="s">
        <v>39</v>
      </c>
      <c r="E58" s="40">
        <f>MAX(E56-E57,0)</f>
        <v>0</v>
      </c>
      <c r="F58" s="40">
        <f t="shared" ref="F58:N58" si="15">MAX(F56-F57,0)</f>
        <v>76951.675908600024</v>
      </c>
      <c r="G58" s="40">
        <f t="shared" si="15"/>
        <v>87398.078588872391</v>
      </c>
      <c r="H58" s="40">
        <f t="shared" si="15"/>
        <v>98004.683120989997</v>
      </c>
      <c r="I58" s="40">
        <f t="shared" si="15"/>
        <v>110641.34714632094</v>
      </c>
      <c r="J58" s="40">
        <f t="shared" si="15"/>
        <v>124103.05809857871</v>
      </c>
      <c r="K58" s="40">
        <f t="shared" si="15"/>
        <v>137364.02614207374</v>
      </c>
      <c r="L58" s="40">
        <f t="shared" si="15"/>
        <v>151648.5110468627</v>
      </c>
      <c r="M58" s="40">
        <f t="shared" si="15"/>
        <v>166826.74847486016</v>
      </c>
      <c r="N58" s="40">
        <f t="shared" si="15"/>
        <v>186030.28190375047</v>
      </c>
      <c r="O58" s="270">
        <f>SUM(E58:N58)</f>
        <v>1138968.4104309091</v>
      </c>
    </row>
    <row r="59" spans="2:15" x14ac:dyDescent="0.25">
      <c r="B59" s="242" t="s">
        <v>334</v>
      </c>
      <c r="D59" s="39" t="s">
        <v>39</v>
      </c>
      <c r="E59" s="303">
        <f t="shared" ref="E59:N59" si="16">E54*E13</f>
        <v>0</v>
      </c>
      <c r="F59" s="303">
        <f t="shared" si="16"/>
        <v>0</v>
      </c>
      <c r="G59" s="303">
        <f t="shared" si="16"/>
        <v>0</v>
      </c>
      <c r="H59" s="303">
        <f t="shared" si="16"/>
        <v>0</v>
      </c>
      <c r="I59" s="303">
        <f t="shared" si="16"/>
        <v>0</v>
      </c>
      <c r="J59" s="303">
        <f t="shared" si="16"/>
        <v>0</v>
      </c>
      <c r="K59" s="303">
        <f t="shared" si="16"/>
        <v>0</v>
      </c>
      <c r="L59" s="303">
        <f t="shared" si="16"/>
        <v>0</v>
      </c>
      <c r="M59" s="303">
        <f t="shared" si="16"/>
        <v>0</v>
      </c>
      <c r="N59" s="303">
        <f t="shared" si="16"/>
        <v>0</v>
      </c>
      <c r="O59" s="339" t="s">
        <v>36</v>
      </c>
    </row>
    <row r="60" spans="2:15" x14ac:dyDescent="0.25">
      <c r="B60" s="387" t="s">
        <v>329</v>
      </c>
      <c r="C60" s="12"/>
      <c r="D60" s="11" t="s">
        <v>39</v>
      </c>
      <c r="E60" s="13">
        <f t="shared" ref="E60:N60" si="17">-IF(E58*E12&lt;E59,E59,E58*E12)</f>
        <v>0</v>
      </c>
      <c r="F60" s="13">
        <f t="shared" si="17"/>
        <v>0</v>
      </c>
      <c r="G60" s="13">
        <f t="shared" si="17"/>
        <v>0</v>
      </c>
      <c r="H60" s="13">
        <f t="shared" si="17"/>
        <v>0</v>
      </c>
      <c r="I60" s="13">
        <f t="shared" si="17"/>
        <v>0</v>
      </c>
      <c r="J60" s="13">
        <f t="shared" si="17"/>
        <v>0</v>
      </c>
      <c r="K60" s="13">
        <f t="shared" si="17"/>
        <v>0</v>
      </c>
      <c r="L60" s="13">
        <f t="shared" si="17"/>
        <v>0</v>
      </c>
      <c r="M60" s="13">
        <f t="shared" si="17"/>
        <v>0</v>
      </c>
      <c r="N60" s="13">
        <f t="shared" si="17"/>
        <v>0</v>
      </c>
      <c r="O60" s="340">
        <f>SUM(E60:N60)</f>
        <v>0</v>
      </c>
    </row>
    <row r="62" spans="2:15" x14ac:dyDescent="0.25">
      <c r="B62" s="162" t="s">
        <v>271</v>
      </c>
    </row>
    <row r="63" spans="2:15" x14ac:dyDescent="0.25">
      <c r="B63" s="390" t="s">
        <v>272</v>
      </c>
      <c r="C63" s="17"/>
      <c r="D63" s="15" t="s">
        <v>39</v>
      </c>
      <c r="E63" s="18">
        <f t="shared" ref="E63:N63" si="18">-E14</f>
        <v>0</v>
      </c>
      <c r="F63" s="18">
        <f t="shared" si="18"/>
        <v>0</v>
      </c>
      <c r="G63" s="18">
        <f t="shared" si="18"/>
        <v>0</v>
      </c>
      <c r="H63" s="18">
        <f t="shared" si="18"/>
        <v>0</v>
      </c>
      <c r="I63" s="18">
        <f t="shared" si="18"/>
        <v>0</v>
      </c>
      <c r="J63" s="18">
        <f t="shared" si="18"/>
        <v>0</v>
      </c>
      <c r="K63" s="18">
        <f t="shared" si="18"/>
        <v>0</v>
      </c>
      <c r="L63" s="18">
        <f t="shared" si="18"/>
        <v>0</v>
      </c>
      <c r="M63" s="18">
        <f t="shared" si="18"/>
        <v>0</v>
      </c>
      <c r="N63" s="18">
        <f t="shared" si="18"/>
        <v>0</v>
      </c>
      <c r="O63" s="270">
        <f>SUM(E63:N63)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Список документов</vt:lpstr>
      <vt:lpstr>Заявка</vt:lpstr>
      <vt:lpstr>&gt;&gt;&gt;</vt:lpstr>
      <vt:lpstr>Предпосылки</vt:lpstr>
      <vt:lpstr>Комментарии</vt:lpstr>
      <vt:lpstr>Доходы и расходы</vt:lpstr>
      <vt:lpstr>Инвестиции</vt:lpstr>
      <vt:lpstr>Финансирование</vt:lpstr>
      <vt:lpstr>Налоги</vt:lpstr>
      <vt:lpstr>Оборотный капитал</vt:lpstr>
      <vt:lpstr>БДР</vt:lpstr>
      <vt:lpstr>БДДС</vt:lpstr>
      <vt:lpstr>Результаты</vt:lpstr>
      <vt:lpstr>Налоговые поступления в бюджет</vt:lpstr>
      <vt:lpstr>Справочно</vt:lpstr>
      <vt:lpstr>инвест.площадка</vt:lpstr>
      <vt:lpstr>Заявка!Область_печати</vt:lpstr>
      <vt:lpstr>'Налоговые поступления в бюджет'!Область_печати</vt:lpstr>
      <vt:lpstr>'Список документов'!Область_печати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2021-01-25T09:50:10Z</cp:lastPrinted>
  <dcterms:created xsi:type="dcterms:W3CDTF">2015-06-05T18:19:34Z</dcterms:created>
  <dcterms:modified xsi:type="dcterms:W3CDTF">2022-08-19T05:27:44Z</dcterms:modified>
</cp:coreProperties>
</file>